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4000" windowHeight="9675" firstSheet="7" activeTab="15"/>
  </bookViews>
  <sheets>
    <sheet name="сент 2018" sheetId="8" r:id="rId1"/>
    <sheet name="авг 2018" sheetId="6" r:id="rId2"/>
    <sheet name="июль 2018" sheetId="1" r:id="rId3"/>
    <sheet name="июнь 2018" sheetId="7" r:id="rId4"/>
    <sheet name="Октябрь 2018" sheetId="9" r:id="rId5"/>
    <sheet name="НОЯБРЬ 2018" sheetId="10" r:id="rId6"/>
    <sheet name="ДЕКАБРЬ 2018" sheetId="11" r:id="rId7"/>
    <sheet name="ЯНВАРЬ  2019" sheetId="12" r:id="rId8"/>
    <sheet name="ФЕВРАЛЬ 2019" sheetId="13" r:id="rId9"/>
    <sheet name="МАРТ 2019" sheetId="14" r:id="rId10"/>
    <sheet name="АПР 2019" sheetId="15" r:id="rId11"/>
    <sheet name="МАЙ 2019" sheetId="16" r:id="rId12"/>
    <sheet name="ИЮНЬ 2019" sheetId="17" r:id="rId13"/>
    <sheet name="ИЮЛЬ 2019" sheetId="18" r:id="rId14"/>
    <sheet name="АВГ 2019" sheetId="19" r:id="rId15"/>
    <sheet name="СЕНТ 2019" sheetId="20" r:id="rId16"/>
    <sheet name="Лист5" sheetId="5" r:id="rId17"/>
  </sheets>
  <externalReferences>
    <externalReference r:id="rId18"/>
    <externalReference r:id="rId19"/>
  </externalReferences>
  <definedNames>
    <definedName name="_xlnm.Print_Area" localSheetId="14">'АВГ 2019'!$A$1:$Q$25</definedName>
    <definedName name="_xlnm.Print_Area" localSheetId="10">'АПР 2019'!$A$1:$Q$25</definedName>
    <definedName name="_xlnm.Print_Area" localSheetId="2">'июль 2018'!$B$1:$X$25</definedName>
    <definedName name="_xlnm.Print_Area" localSheetId="13">'ИЮЛЬ 2019'!$A$1:$Q$25</definedName>
    <definedName name="_xlnm.Print_Area" localSheetId="11">'МАЙ 2019'!$A$1:$Q$25</definedName>
    <definedName name="_xlnm.Print_Area" localSheetId="15">'СЕНТ 2019'!$A$1:$Q$25</definedName>
  </definedNames>
  <calcPr calcId="145621"/>
</workbook>
</file>

<file path=xl/calcChain.xml><?xml version="1.0" encoding="utf-8"?>
<calcChain xmlns="http://schemas.openxmlformats.org/spreadsheetml/2006/main">
  <c r="R16" i="20" l="1"/>
  <c r="E22" i="20" l="1"/>
  <c r="F16" i="20"/>
  <c r="G16" i="20"/>
  <c r="H16" i="20"/>
  <c r="I16" i="20"/>
  <c r="E16" i="20"/>
  <c r="I19" i="20"/>
  <c r="H19" i="20"/>
  <c r="G19" i="20"/>
  <c r="F19" i="20"/>
  <c r="E19" i="20"/>
  <c r="E19" i="19"/>
  <c r="F19" i="19"/>
  <c r="G19" i="19"/>
  <c r="H19" i="19"/>
  <c r="I19" i="19"/>
  <c r="F18" i="20" l="1"/>
  <c r="G18" i="20"/>
  <c r="H18" i="20"/>
  <c r="H22" i="20" s="1"/>
  <c r="I18" i="20"/>
  <c r="E18" i="20"/>
  <c r="Q18" i="20" s="1"/>
  <c r="Q20" i="20"/>
  <c r="Q19" i="20"/>
  <c r="I21" i="20"/>
  <c r="H21" i="20"/>
  <c r="G22" i="20"/>
  <c r="E21" i="20"/>
  <c r="I22" i="20"/>
  <c r="Q17" i="20"/>
  <c r="I15" i="20"/>
  <c r="H15" i="20"/>
  <c r="G15" i="20"/>
  <c r="F15" i="20"/>
  <c r="Q15" i="20" s="1"/>
  <c r="E15" i="20"/>
  <c r="Q11" i="20"/>
  <c r="Q22" i="20" l="1"/>
  <c r="F21" i="20"/>
  <c r="T19" i="20"/>
  <c r="G21" i="20"/>
  <c r="Q21" i="20" s="1"/>
  <c r="R22" i="20" s="1"/>
  <c r="F22" i="20"/>
  <c r="Q16" i="20"/>
  <c r="I16" i="19"/>
  <c r="G16" i="19"/>
  <c r="F16" i="19"/>
  <c r="E22" i="19"/>
  <c r="H16" i="19"/>
  <c r="E16" i="18"/>
  <c r="R23" i="20" l="1"/>
  <c r="E16" i="19"/>
  <c r="F18" i="19" l="1"/>
  <c r="Q18" i="19" s="1"/>
  <c r="G18" i="19"/>
  <c r="H18" i="19"/>
  <c r="I18" i="19"/>
  <c r="I22" i="19" s="1"/>
  <c r="E18" i="19"/>
  <c r="H22" i="19"/>
  <c r="F22" i="19"/>
  <c r="I21" i="19"/>
  <c r="H21" i="19"/>
  <c r="G21" i="19"/>
  <c r="F21" i="19"/>
  <c r="E21" i="19"/>
  <c r="Q20" i="19"/>
  <c r="Q19" i="19"/>
  <c r="G22" i="19"/>
  <c r="Q17" i="19"/>
  <c r="I15" i="19"/>
  <c r="H15" i="19"/>
  <c r="G15" i="19"/>
  <c r="F15" i="19"/>
  <c r="E15" i="19"/>
  <c r="Q15" i="19" s="1"/>
  <c r="Q11" i="19"/>
  <c r="Q16" i="19" l="1"/>
  <c r="R16" i="19" s="1"/>
  <c r="Q21" i="19"/>
  <c r="R22" i="19" s="1"/>
  <c r="Q22" i="19"/>
  <c r="T19" i="19"/>
  <c r="T19" i="18"/>
  <c r="F16" i="18"/>
  <c r="G16" i="18"/>
  <c r="H16" i="18"/>
  <c r="I16" i="18"/>
  <c r="R23" i="19" l="1"/>
  <c r="F18" i="18"/>
  <c r="G18" i="18"/>
  <c r="H18" i="18"/>
  <c r="I18" i="18"/>
  <c r="I22" i="18" s="1"/>
  <c r="E18" i="18"/>
  <c r="E22" i="18"/>
  <c r="I21" i="18"/>
  <c r="H21" i="18"/>
  <c r="G21" i="18"/>
  <c r="F21" i="18"/>
  <c r="E21" i="18"/>
  <c r="Q20" i="18"/>
  <c r="Q19" i="18"/>
  <c r="H22" i="18"/>
  <c r="G22" i="18"/>
  <c r="Q18" i="18"/>
  <c r="Q17" i="18"/>
  <c r="I15" i="18"/>
  <c r="H15" i="18"/>
  <c r="G15" i="18"/>
  <c r="F15" i="18"/>
  <c r="Q15" i="18" s="1"/>
  <c r="E15" i="18"/>
  <c r="Q11" i="18"/>
  <c r="Q16" i="18" l="1"/>
  <c r="Q21" i="18"/>
  <c r="Q22" i="18"/>
  <c r="R22" i="18"/>
  <c r="R16" i="18"/>
  <c r="F22" i="18"/>
  <c r="F16" i="17"/>
  <c r="G16" i="17"/>
  <c r="H16" i="17"/>
  <c r="I16" i="17"/>
  <c r="E16" i="17"/>
  <c r="R23" i="18" l="1"/>
  <c r="F18" i="17"/>
  <c r="F22" i="17" s="1"/>
  <c r="G18" i="17"/>
  <c r="H18" i="17"/>
  <c r="H22" i="17" s="1"/>
  <c r="I18" i="17"/>
  <c r="E18" i="17"/>
  <c r="E22" i="17" s="1"/>
  <c r="I22" i="17"/>
  <c r="I21" i="17"/>
  <c r="H21" i="17"/>
  <c r="G21" i="17"/>
  <c r="F21" i="17"/>
  <c r="E21" i="17"/>
  <c r="Q20" i="17"/>
  <c r="Q19" i="17"/>
  <c r="T19" i="17" s="1"/>
  <c r="G22" i="17"/>
  <c r="Q17" i="17"/>
  <c r="Q16" i="17"/>
  <c r="I15" i="17"/>
  <c r="H15" i="17"/>
  <c r="G15" i="17"/>
  <c r="F15" i="17"/>
  <c r="E15" i="17"/>
  <c r="Q11" i="17"/>
  <c r="Q21" i="17" l="1"/>
  <c r="Q15" i="17"/>
  <c r="R16" i="17" s="1"/>
  <c r="Q18" i="17"/>
  <c r="Q22" i="17" s="1"/>
  <c r="R16" i="15"/>
  <c r="R16" i="14"/>
  <c r="R16" i="13"/>
  <c r="R16" i="12"/>
  <c r="R16" i="11"/>
  <c r="R16" i="10"/>
  <c r="R16" i="9"/>
  <c r="R16" i="16"/>
  <c r="R22" i="17" l="1"/>
  <c r="R23" i="17" s="1"/>
  <c r="Q22" i="15"/>
  <c r="Q22" i="16"/>
  <c r="F16" i="16"/>
  <c r="G16" i="16"/>
  <c r="Q16" i="16" s="1"/>
  <c r="H16" i="16"/>
  <c r="I16" i="16"/>
  <c r="E16" i="16"/>
  <c r="G18" i="16"/>
  <c r="H18" i="16"/>
  <c r="H22" i="16" s="1"/>
  <c r="I18" i="16"/>
  <c r="F18" i="16"/>
  <c r="F22" i="16" s="1"/>
  <c r="E18" i="16"/>
  <c r="G22" i="16"/>
  <c r="I21" i="16"/>
  <c r="H21" i="16"/>
  <c r="G21" i="16"/>
  <c r="F21" i="16"/>
  <c r="E21" i="16"/>
  <c r="Q20" i="16"/>
  <c r="T19" i="16"/>
  <c r="Q19" i="16"/>
  <c r="I22" i="16"/>
  <c r="Q17" i="16"/>
  <c r="I15" i="16"/>
  <c r="H15" i="16"/>
  <c r="G15" i="16"/>
  <c r="F15" i="16"/>
  <c r="E15" i="16"/>
  <c r="Q15" i="16" s="1"/>
  <c r="Q11" i="16"/>
  <c r="Q21" i="16" l="1"/>
  <c r="R22" i="16" s="1"/>
  <c r="R23" i="16" s="1"/>
  <c r="Q18" i="16"/>
  <c r="E22" i="16"/>
  <c r="T19" i="15"/>
  <c r="E22" i="15"/>
  <c r="F18" i="15"/>
  <c r="G18" i="15"/>
  <c r="H18" i="15"/>
  <c r="Q18" i="15" s="1"/>
  <c r="I18" i="15"/>
  <c r="I22" i="15" s="1"/>
  <c r="E18" i="15"/>
  <c r="F16" i="15"/>
  <c r="G16" i="15"/>
  <c r="H16" i="15"/>
  <c r="I16" i="15"/>
  <c r="E16" i="15"/>
  <c r="H22" i="15"/>
  <c r="F22" i="15"/>
  <c r="I21" i="15"/>
  <c r="H21" i="15"/>
  <c r="G21" i="15"/>
  <c r="F21" i="15"/>
  <c r="E21" i="15"/>
  <c r="Q20" i="15"/>
  <c r="Q19" i="15"/>
  <c r="G22" i="15"/>
  <c r="Q17" i="15"/>
  <c r="I15" i="15"/>
  <c r="H15" i="15"/>
  <c r="G15" i="15"/>
  <c r="F15" i="15"/>
  <c r="E15" i="15"/>
  <c r="Q15" i="15" s="1"/>
  <c r="Q11" i="15"/>
  <c r="Q16" i="15" l="1"/>
  <c r="Q21" i="15"/>
  <c r="R22" i="15" s="1"/>
  <c r="R23" i="14"/>
  <c r="R22" i="14"/>
  <c r="R23" i="15" l="1"/>
  <c r="F18" i="13"/>
  <c r="G18" i="13"/>
  <c r="H18" i="13"/>
  <c r="I18" i="13"/>
  <c r="E18" i="13"/>
  <c r="E22" i="13" s="1"/>
  <c r="T19" i="14"/>
  <c r="T19" i="13"/>
  <c r="T19" i="12"/>
  <c r="T19" i="11"/>
  <c r="T19" i="10"/>
  <c r="T19" i="9"/>
  <c r="F18" i="14"/>
  <c r="G18" i="14"/>
  <c r="H18" i="14"/>
  <c r="H22" i="14" s="1"/>
  <c r="I18" i="14"/>
  <c r="E18" i="14"/>
  <c r="E22" i="14" s="1"/>
  <c r="F16" i="14"/>
  <c r="G16" i="14"/>
  <c r="H16" i="14"/>
  <c r="I16" i="14"/>
  <c r="E16" i="14"/>
  <c r="I22" i="14"/>
  <c r="F22" i="14"/>
  <c r="I21" i="14"/>
  <c r="H21" i="14"/>
  <c r="G21" i="14"/>
  <c r="F21" i="14"/>
  <c r="E21" i="14"/>
  <c r="Q20" i="14"/>
  <c r="Q19" i="14"/>
  <c r="G22" i="14"/>
  <c r="Q17" i="14"/>
  <c r="I15" i="14"/>
  <c r="H15" i="14"/>
  <c r="G15" i="14"/>
  <c r="F15" i="14"/>
  <c r="E15" i="14"/>
  <c r="Q15" i="14" s="1"/>
  <c r="Q11" i="14"/>
  <c r="Q18" i="14" l="1"/>
  <c r="Q22" i="14" s="1"/>
  <c r="Q16" i="14"/>
  <c r="Q21" i="14"/>
  <c r="E16" i="10"/>
  <c r="E16" i="11"/>
  <c r="E16" i="12"/>
  <c r="E16" i="13"/>
  <c r="F18" i="12"/>
  <c r="G18" i="12"/>
  <c r="H18" i="12"/>
  <c r="I18" i="12"/>
  <c r="F18" i="11"/>
  <c r="F22" i="11" s="1"/>
  <c r="G18" i="11"/>
  <c r="H18" i="11"/>
  <c r="I18" i="11"/>
  <c r="E18" i="11"/>
  <c r="E22" i="11" s="1"/>
  <c r="G22" i="11"/>
  <c r="H22" i="11"/>
  <c r="I22" i="11"/>
  <c r="F16" i="11"/>
  <c r="G16" i="11"/>
  <c r="H16" i="11"/>
  <c r="I16" i="11"/>
  <c r="E18" i="12"/>
  <c r="F16" i="13" l="1"/>
  <c r="G16" i="13"/>
  <c r="H16" i="13"/>
  <c r="I16" i="13"/>
  <c r="I22" i="13" l="1"/>
  <c r="F22" i="13"/>
  <c r="I21" i="13"/>
  <c r="H21" i="13"/>
  <c r="G21" i="13"/>
  <c r="F21" i="13"/>
  <c r="E21" i="13"/>
  <c r="Q20" i="13"/>
  <c r="Q19" i="13"/>
  <c r="H22" i="13"/>
  <c r="G22" i="13"/>
  <c r="Q18" i="13"/>
  <c r="Q17" i="13"/>
  <c r="I15" i="13"/>
  <c r="H15" i="13"/>
  <c r="G15" i="13"/>
  <c r="F15" i="13"/>
  <c r="E15" i="13"/>
  <c r="Q15" i="13" s="1"/>
  <c r="Q11" i="13"/>
  <c r="Q21" i="13" l="1"/>
  <c r="Q16" i="13"/>
  <c r="Q22" i="13"/>
  <c r="I16" i="12"/>
  <c r="H16" i="12"/>
  <c r="G16" i="12"/>
  <c r="F16" i="12"/>
  <c r="Q20" i="12"/>
  <c r="I22" i="12"/>
  <c r="H21" i="12"/>
  <c r="G21" i="12"/>
  <c r="F21" i="12"/>
  <c r="E22" i="12"/>
  <c r="F22" i="12"/>
  <c r="Q17" i="12"/>
  <c r="I15" i="12"/>
  <c r="H15" i="12"/>
  <c r="G15" i="12"/>
  <c r="F15" i="12"/>
  <c r="Q15" i="12" s="1"/>
  <c r="E15" i="12"/>
  <c r="Q11" i="12"/>
  <c r="E21" i="12" l="1"/>
  <c r="Q21" i="12" s="1"/>
  <c r="I21" i="12"/>
  <c r="G22" i="12"/>
  <c r="Q19" i="12"/>
  <c r="H22" i="12"/>
  <c r="Q18" i="12"/>
  <c r="H19" i="11"/>
  <c r="H21" i="11" s="1"/>
  <c r="I19" i="11"/>
  <c r="G19" i="11"/>
  <c r="F19" i="11"/>
  <c r="E19" i="11"/>
  <c r="Q20" i="11"/>
  <c r="G21" i="11"/>
  <c r="Q18" i="11"/>
  <c r="Q17" i="11"/>
  <c r="I15" i="11"/>
  <c r="H15" i="11"/>
  <c r="G15" i="11"/>
  <c r="F15" i="11"/>
  <c r="E15" i="11"/>
  <c r="Q15" i="11" s="1"/>
  <c r="Q11" i="11"/>
  <c r="Q16" i="12" l="1"/>
  <c r="Q22" i="12"/>
  <c r="Q16" i="11"/>
  <c r="E21" i="11"/>
  <c r="Q19" i="11"/>
  <c r="F21" i="11"/>
  <c r="I21" i="11"/>
  <c r="I19" i="10"/>
  <c r="I16" i="10" s="1"/>
  <c r="H19" i="10"/>
  <c r="H16" i="10" s="1"/>
  <c r="G19" i="10"/>
  <c r="G16" i="10" s="1"/>
  <c r="F19" i="10"/>
  <c r="F16" i="10" s="1"/>
  <c r="E19" i="10"/>
  <c r="Q21" i="11" l="1"/>
  <c r="Q22" i="11"/>
  <c r="F18" i="10"/>
  <c r="E18" i="10"/>
  <c r="G18" i="10"/>
  <c r="H18" i="10"/>
  <c r="I18" i="10"/>
  <c r="I15" i="10"/>
  <c r="H15" i="10"/>
  <c r="G15" i="10"/>
  <c r="F15" i="10"/>
  <c r="E15" i="10"/>
  <c r="Q11" i="10"/>
  <c r="E21" i="10" l="1"/>
  <c r="E22" i="10"/>
  <c r="I21" i="10"/>
  <c r="H21" i="10"/>
  <c r="G21" i="10"/>
  <c r="F21" i="10"/>
  <c r="Q20" i="10"/>
  <c r="Q19" i="10"/>
  <c r="I22" i="10"/>
  <c r="H22" i="10"/>
  <c r="G22" i="10"/>
  <c r="F22" i="10"/>
  <c r="Q17" i="10"/>
  <c r="Q21" i="10" l="1"/>
  <c r="Q15" i="10"/>
  <c r="Q18" i="10"/>
  <c r="Q22" i="10" s="1"/>
  <c r="Q16" i="10"/>
  <c r="E18" i="9"/>
  <c r="E19" i="8"/>
  <c r="E21" i="8" s="1"/>
  <c r="Q20" i="9" l="1"/>
  <c r="G21" i="9"/>
  <c r="F21" i="9"/>
  <c r="E22" i="9"/>
  <c r="I18" i="9"/>
  <c r="I22" i="9" s="1"/>
  <c r="H18" i="9"/>
  <c r="G18" i="9"/>
  <c r="G22" i="9" s="1"/>
  <c r="F18" i="9"/>
  <c r="F22" i="9" s="1"/>
  <c r="Q17" i="9"/>
  <c r="I15" i="9"/>
  <c r="H15" i="9"/>
  <c r="G15" i="9"/>
  <c r="F15" i="9"/>
  <c r="E15" i="9"/>
  <c r="Q15" i="9" s="1"/>
  <c r="H22" i="9" l="1"/>
  <c r="Q18" i="9"/>
  <c r="H21" i="9"/>
  <c r="E21" i="9"/>
  <c r="I21" i="9"/>
  <c r="Q19" i="9"/>
  <c r="I19" i="8"/>
  <c r="H19" i="8"/>
  <c r="G19" i="8"/>
  <c r="F19" i="8"/>
  <c r="Q22" i="9" l="1"/>
  <c r="Q21" i="9"/>
  <c r="F18" i="8"/>
  <c r="G18" i="8"/>
  <c r="H18" i="8"/>
  <c r="H22" i="8" s="1"/>
  <c r="I18" i="8"/>
  <c r="E18" i="8"/>
  <c r="Q20" i="8"/>
  <c r="G21" i="8"/>
  <c r="F21" i="8"/>
  <c r="Q17" i="8"/>
  <c r="I15" i="8"/>
  <c r="H15" i="8"/>
  <c r="G15" i="8"/>
  <c r="F15" i="8"/>
  <c r="E15" i="8"/>
  <c r="Q15" i="8" l="1"/>
  <c r="I22" i="8"/>
  <c r="Q18" i="8"/>
  <c r="E22" i="8"/>
  <c r="H21" i="8"/>
  <c r="F22" i="8"/>
  <c r="I21" i="8"/>
  <c r="G22" i="8"/>
  <c r="Q19" i="8"/>
  <c r="E18" i="6"/>
  <c r="F18" i="6"/>
  <c r="G18" i="6"/>
  <c r="I18" i="6"/>
  <c r="H18" i="6"/>
  <c r="I18" i="7"/>
  <c r="F18" i="7"/>
  <c r="G18" i="7"/>
  <c r="H18" i="7"/>
  <c r="E18" i="7"/>
  <c r="I19" i="7"/>
  <c r="I21" i="7" s="1"/>
  <c r="H19" i="7"/>
  <c r="H21" i="7" s="1"/>
  <c r="G19" i="7"/>
  <c r="G21" i="7" s="1"/>
  <c r="F19" i="7"/>
  <c r="F16" i="7" s="1"/>
  <c r="E19" i="7"/>
  <c r="E16" i="7" s="1"/>
  <c r="F22" i="7"/>
  <c r="F21" i="7"/>
  <c r="Q20" i="7"/>
  <c r="E22" i="7"/>
  <c r="Q17" i="7"/>
  <c r="I15" i="7"/>
  <c r="H15" i="7"/>
  <c r="G15" i="7"/>
  <c r="F15" i="7"/>
  <c r="E15" i="7"/>
  <c r="H22" i="7" l="1"/>
  <c r="Q21" i="8"/>
  <c r="G16" i="7"/>
  <c r="H16" i="7"/>
  <c r="Q15" i="7"/>
  <c r="E21" i="7"/>
  <c r="Q21" i="7" s="1"/>
  <c r="I16" i="7"/>
  <c r="Q18" i="7"/>
  <c r="Q22" i="8"/>
  <c r="I22" i="7"/>
  <c r="G22" i="7"/>
  <c r="Q19" i="7"/>
  <c r="Q16" i="7" l="1"/>
  <c r="Q22" i="7"/>
  <c r="T19" i="7"/>
  <c r="I19" i="6"/>
  <c r="H19" i="6"/>
  <c r="G19" i="6"/>
  <c r="F19" i="6"/>
  <c r="E19" i="6"/>
  <c r="E16" i="9" s="1"/>
  <c r="H16" i="8" l="1"/>
  <c r="H16" i="9"/>
  <c r="I16" i="8"/>
  <c r="I16" i="9"/>
  <c r="F16" i="8"/>
  <c r="F16" i="9"/>
  <c r="Q16" i="9" s="1"/>
  <c r="G16" i="8"/>
  <c r="G16" i="9"/>
  <c r="E22" i="6"/>
  <c r="E16" i="8"/>
  <c r="F22" i="6"/>
  <c r="I21" i="6"/>
  <c r="H21" i="6"/>
  <c r="F21" i="6"/>
  <c r="E21" i="6"/>
  <c r="Q20" i="6"/>
  <c r="I22" i="6"/>
  <c r="H22" i="6"/>
  <c r="G21" i="6"/>
  <c r="Q18" i="6"/>
  <c r="Q17" i="6"/>
  <c r="I15" i="6"/>
  <c r="H15" i="6"/>
  <c r="G15" i="6"/>
  <c r="F15" i="6"/>
  <c r="E15" i="6"/>
  <c r="Q16" i="8" l="1"/>
  <c r="Q15" i="6"/>
  <c r="Q21" i="6"/>
  <c r="G22" i="6"/>
  <c r="Q19" i="6"/>
  <c r="T19" i="8" l="1"/>
  <c r="Q22" i="6"/>
  <c r="I19" i="1"/>
  <c r="I16" i="6" s="1"/>
  <c r="H19" i="1"/>
  <c r="H16" i="6" s="1"/>
  <c r="G19" i="1"/>
  <c r="G16" i="6" s="1"/>
  <c r="F19" i="1"/>
  <c r="F16" i="6" s="1"/>
  <c r="E19" i="1"/>
  <c r="F18" i="1"/>
  <c r="G18" i="1"/>
  <c r="H18" i="1"/>
  <c r="I18" i="1"/>
  <c r="E18" i="1"/>
  <c r="F15" i="1"/>
  <c r="G15" i="1"/>
  <c r="H15" i="1"/>
  <c r="I15" i="1"/>
  <c r="E15" i="1"/>
  <c r="H16" i="1" l="1"/>
  <c r="E16" i="6"/>
  <c r="Q16" i="6" s="1"/>
  <c r="E16" i="1"/>
  <c r="I16" i="1"/>
  <c r="F16" i="1"/>
  <c r="G16" i="1"/>
  <c r="F22" i="1"/>
  <c r="Q17" i="1" l="1"/>
  <c r="Q19" i="1"/>
  <c r="T19" i="6" s="1"/>
  <c r="Q20" i="1"/>
  <c r="F21" i="1"/>
  <c r="G21" i="1"/>
  <c r="H21" i="1"/>
  <c r="I21" i="1"/>
  <c r="E21" i="1"/>
  <c r="G22" i="1"/>
  <c r="H22" i="1"/>
  <c r="I22" i="1"/>
  <c r="E22" i="1"/>
  <c r="Q15" i="1"/>
  <c r="G22" i="5"/>
  <c r="F22" i="5"/>
  <c r="E22" i="5"/>
  <c r="G21" i="5"/>
  <c r="F21" i="5"/>
  <c r="E21" i="5"/>
  <c r="S19" i="1" l="1"/>
  <c r="Q21" i="1"/>
  <c r="Q16" i="1"/>
  <c r="Q18" i="1"/>
  <c r="Q22" i="1" s="1"/>
</calcChain>
</file>

<file path=xl/sharedStrings.xml><?xml version="1.0" encoding="utf-8"?>
<sst xmlns="http://schemas.openxmlformats.org/spreadsheetml/2006/main" count="775" uniqueCount="76">
  <si>
    <t>Площадь дома</t>
  </si>
  <si>
    <t>Наименование и реквизиты документа, на основании которого осуществляется формирование фонда капитального ремонта на специальном счете</t>
  </si>
  <si>
    <t>Наименование кредитной организации</t>
  </si>
  <si>
    <t>N счета</t>
  </si>
  <si>
    <t>Сведения о размере задолженности по взносам на формирование фонда капитального ремонта</t>
  </si>
  <si>
    <t>Сведения о заключении договора займа и (или) кредитного договора на проведение капитального ремонта с приложением заверенных копий таких договоров</t>
  </si>
  <si>
    <t>Nп/п</t>
  </si>
  <si>
    <t>Адрес МКД</t>
  </si>
  <si>
    <t>Код МКД</t>
  </si>
  <si>
    <t>Приложение 2 к Приказу
государственной жилищной инспекции Самарской области
от 22 мая 2017 г. N 6/17-п</t>
  </si>
  <si>
    <t xml:space="preserve">Ответственный исполнитель, Ф.И.О., должность __________________________// _________________________________________________________________________
                                                                                                                          (подпись,заверенная печатью)
</t>
  </si>
  <si>
    <t>Форма представления владельцем специального счета сведений 
о поступлении взносов на капитальный ремонт от собственников помещений в многоквартирном доме, 
о размере остатка средств на специальном счете, о перечислении денежных средств, находящихся на специальном счете</t>
  </si>
  <si>
    <t>Сведения о поступлении взносов на капитальный ремонт от собственников помещений в МКД, о размере задолженности и о размере остатка средств на специальном счете, владельцем которого является ТСЖ, ЖК (СПК) либо УК</t>
  </si>
  <si>
    <r>
      <t xml:space="preserve">Сведения о начислении взносов </t>
    </r>
    <r>
      <rPr>
        <sz val="11"/>
        <rFont val="Times New Roman"/>
        <family val="1"/>
        <charset val="204"/>
      </rPr>
      <t xml:space="preserve">на формирование фонда капитального ремонта </t>
    </r>
  </si>
  <si>
    <r>
      <t>Сведения о размере израсходованных средств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на капитальный ремонт со специального счета, владельцем которого является ТСЖ, ЖК либо УК</t>
    </r>
  </si>
  <si>
    <t>Сведения за отчетный период</t>
  </si>
  <si>
    <t xml:space="preserve">Сведения с наростающим итогом, с начала наступления обязанности внесения взносов на формирование фонда капитального ремонта </t>
  </si>
  <si>
    <t>Сведения о размере остатка средств на специальном счете, владельцем которого является ТСЖ, ЖК либо УК</t>
  </si>
  <si>
    <t xml:space="preserve">Отчетный период: месяц __________________________ год   20_______ 
Телефон контакта _______________________ Наименование владельца специального счета _____________________________________________________________
ИНН владельца специального счета _________________________________________
Адрес местонахождения/Почтовый адрес владельца специального счета ______________________________________________________________________________
</t>
  </si>
  <si>
    <r>
      <t xml:space="preserve">Сведения о поступлении взносов </t>
    </r>
    <r>
      <rPr>
        <sz val="11"/>
        <rFont val="Times New Roman"/>
        <family val="1"/>
        <charset val="204"/>
      </rPr>
      <t>на специальный счет, владельцем которого является ТСЖ, ЖК либо УК</t>
    </r>
  </si>
  <si>
    <t xml:space="preserve"> - </t>
  </si>
  <si>
    <t xml:space="preserve">Примечание:
1. В графах 8,9,11,12 указываются сведения о начислении и поступлении взносов за капитальный ремонт (без учета пеней, процентов, начисленных за пользование денежными средствами, находящимися на специальном счете). 
2. В графах 10,13 указываются только денежные средства, израсходованные на проведение капитального ремонта МКД.
3. Графы 8-15 заполняются в тысячах рублей. 
Сокращения используемые в данной форме:
МКД - Многоквартирный дом
ТСЖ - товарищество собственников жилья
ЖК - жилищный кооператив
УК - управляющая компания
</t>
  </si>
  <si>
    <t>ул.Минская, 25</t>
  </si>
  <si>
    <t xml:space="preserve">Адрес МКД   </t>
  </si>
  <si>
    <t>ул.Нагорная, 143</t>
  </si>
  <si>
    <t>ул.Кромская, 4</t>
  </si>
  <si>
    <t>ул.Ставропольская, 202</t>
  </si>
  <si>
    <t>Прот №  _ 4_от 18.12.2015</t>
  </si>
  <si>
    <t xml:space="preserve">Поволжский банк ПАО Сбербанк России  </t>
  </si>
  <si>
    <t>40705810354400000222</t>
  </si>
  <si>
    <t>40705810654400000223</t>
  </si>
  <si>
    <t>40705810954400000224</t>
  </si>
  <si>
    <t>40705810254400000225</t>
  </si>
  <si>
    <t>40705810554400000226</t>
  </si>
  <si>
    <t>ул.Ставропольская, 204</t>
  </si>
  <si>
    <t xml:space="preserve">Сведения о начислении взносов на формирование фонда капитального ремонта </t>
  </si>
  <si>
    <t>Сведения о поступлении взносов на специальный счет, владельцем которого является ТСЖ, ЖК либо УК</t>
  </si>
  <si>
    <r>
      <t>Сведения о размере израсходованных средств</t>
    </r>
    <r>
      <rPr>
        <b/>
        <sz val="16"/>
        <color theme="1"/>
        <rFont val="Times New Roman"/>
        <family val="1"/>
        <charset val="204"/>
      </rPr>
      <t xml:space="preserve"> </t>
    </r>
    <r>
      <rPr>
        <sz val="16"/>
        <color theme="1"/>
        <rFont val="Times New Roman"/>
        <family val="1"/>
        <charset val="204"/>
      </rPr>
      <t>на капитальный ремонт со специального счета, владельцем которого является ТСЖ, ЖК либо УК</t>
    </r>
  </si>
  <si>
    <r>
      <t>Отчетный период: месяц ___</t>
    </r>
    <r>
      <rPr>
        <b/>
        <sz val="16"/>
        <color theme="1"/>
        <rFont val="Times New Roman"/>
        <family val="1"/>
        <charset val="204"/>
      </rPr>
      <t>ИЮЛЬ</t>
    </r>
    <r>
      <rPr>
        <sz val="16"/>
        <color theme="1"/>
        <rFont val="Times New Roman"/>
        <family val="1"/>
        <charset val="204"/>
      </rPr>
      <t xml:space="preserve">__ год   </t>
    </r>
    <r>
      <rPr>
        <b/>
        <sz val="16"/>
        <color theme="1"/>
        <rFont val="Times New Roman"/>
        <family val="1"/>
        <charset val="204"/>
      </rPr>
      <t>2018</t>
    </r>
    <r>
      <rPr>
        <sz val="16"/>
        <color theme="1"/>
        <rFont val="Times New Roman"/>
        <family val="1"/>
        <charset val="204"/>
      </rPr>
      <t>__ 
Телефон контакта _8(846)269-13-14_ Наименование владельца специального счета _</t>
    </r>
    <r>
      <rPr>
        <b/>
        <sz val="16"/>
        <color theme="1"/>
        <rFont val="Times New Roman"/>
        <family val="1"/>
        <charset val="204"/>
      </rPr>
      <t>Товарищество собственников жилья «Кировское-2»</t>
    </r>
    <r>
      <rPr>
        <sz val="16"/>
        <color theme="1"/>
        <rFont val="Times New Roman"/>
        <family val="1"/>
        <charset val="204"/>
      </rPr>
      <t>__
ИНН владельца специального счета _</t>
    </r>
    <r>
      <rPr>
        <b/>
        <sz val="16"/>
        <color theme="1"/>
        <rFont val="Times New Roman"/>
        <family val="1"/>
        <charset val="204"/>
      </rPr>
      <t>6312048986</t>
    </r>
    <r>
      <rPr>
        <sz val="16"/>
        <color theme="1"/>
        <rFont val="Times New Roman"/>
        <family val="1"/>
        <charset val="204"/>
      </rPr>
      <t>_
Адрес местонахождения/Почтовый адрес владельца специального счета _</t>
    </r>
    <r>
      <rPr>
        <b/>
        <sz val="16"/>
        <color theme="1"/>
        <rFont val="Times New Roman"/>
        <family val="1"/>
        <charset val="204"/>
      </rPr>
      <t>443035 г.Самара, ул.Минская,25</t>
    </r>
    <r>
      <rPr>
        <sz val="16"/>
        <color theme="1"/>
        <rFont val="Times New Roman"/>
        <family val="1"/>
        <charset val="204"/>
      </rPr>
      <t xml:space="preserve">_
</t>
    </r>
  </si>
  <si>
    <t xml:space="preserve">с августа 2014г. по июнь 2016г.:  (5+12+6=23 мес.) :  ТАРИФ 5,84 руб/м2.;
с июля 2016г. по июнь 2018г.:  (6+12+6=24 мес.) :                                            ТАРИФ 6,27 руб/м2;                                                                                                                                                                         с июля 2018г.: (1 мес.) :   ТАРИФ 6,52 руб/м2.
</t>
  </si>
  <si>
    <t xml:space="preserve">Примечание:
1. В графах 8,9,11,12 указываются сведения о начислении и поступлении взносов за капитальный ремонт (без учета пеней, процентов, начисленных за пользование денежными средствами, находящимися на специальном счете). 
2. В графах 10,13 указываются только денежные средства, израсходованные на проведение капитального ремонта МКД.
3. Графы 8-15 заполняются в тысячах рублей. 
Сокращения используемые в данной форме:
МКД - Многоквартирный дом
ТСЖ - товарищество собственников жилья
ЖК - жилищный кооператив
УК - управляющая компания
</t>
  </si>
  <si>
    <r>
      <t>Отчетный период: месяц ___</t>
    </r>
    <r>
      <rPr>
        <b/>
        <sz val="16"/>
        <color theme="1"/>
        <rFont val="Times New Roman"/>
        <family val="1"/>
        <charset val="204"/>
      </rPr>
      <t>АВГУСТ</t>
    </r>
    <r>
      <rPr>
        <sz val="16"/>
        <color theme="1"/>
        <rFont val="Times New Roman"/>
        <family val="1"/>
        <charset val="204"/>
      </rPr>
      <t xml:space="preserve">__ год   </t>
    </r>
    <r>
      <rPr>
        <b/>
        <sz val="16"/>
        <color theme="1"/>
        <rFont val="Times New Roman"/>
        <family val="1"/>
        <charset val="204"/>
      </rPr>
      <t>2018</t>
    </r>
    <r>
      <rPr>
        <sz val="16"/>
        <color theme="1"/>
        <rFont val="Times New Roman"/>
        <family val="1"/>
        <charset val="204"/>
      </rPr>
      <t>__ 
Телефон контакта _8(846)269-13-14_ Наименование владельца специального счета _</t>
    </r>
    <r>
      <rPr>
        <b/>
        <sz val="16"/>
        <color theme="1"/>
        <rFont val="Times New Roman"/>
        <family val="1"/>
        <charset val="204"/>
      </rPr>
      <t>Товарищество собственников жилья «Кировское-2»</t>
    </r>
    <r>
      <rPr>
        <sz val="16"/>
        <color theme="1"/>
        <rFont val="Times New Roman"/>
        <family val="1"/>
        <charset val="204"/>
      </rPr>
      <t>__
ИНН владельца специального счета _</t>
    </r>
    <r>
      <rPr>
        <b/>
        <sz val="16"/>
        <color theme="1"/>
        <rFont val="Times New Roman"/>
        <family val="1"/>
        <charset val="204"/>
      </rPr>
      <t>6312048986</t>
    </r>
    <r>
      <rPr>
        <sz val="16"/>
        <color theme="1"/>
        <rFont val="Times New Roman"/>
        <family val="1"/>
        <charset val="204"/>
      </rPr>
      <t>_
Адрес местонахождения/Почтовый адрес владельца специального счета _</t>
    </r>
    <r>
      <rPr>
        <b/>
        <sz val="16"/>
        <color theme="1"/>
        <rFont val="Times New Roman"/>
        <family val="1"/>
        <charset val="204"/>
      </rPr>
      <t>443035 г.Самара, ул.Минская,25</t>
    </r>
    <r>
      <rPr>
        <sz val="16"/>
        <color theme="1"/>
        <rFont val="Times New Roman"/>
        <family val="1"/>
        <charset val="204"/>
      </rPr>
      <t xml:space="preserve">_
</t>
    </r>
  </si>
  <si>
    <t xml:space="preserve">с августа 2014г. по июнь 2016г.:  (5+12+6=23 мес.) :  ТАРИФ 5,84 руб/м2.;
с июля 2016г. по июнь 2018г.:  (6+12+6=24 мес.) :                                            ТАРИФ 6,27 руб/м2;                                                                                                                                                                         июл-авг 2018г.: (2 мес.) :   ТАРИФ 6,52 руб/м2.
</t>
  </si>
  <si>
    <r>
      <t>Отчетный период: месяц ___</t>
    </r>
    <r>
      <rPr>
        <b/>
        <sz val="16"/>
        <color theme="1"/>
        <rFont val="Times New Roman"/>
        <family val="1"/>
        <charset val="204"/>
      </rPr>
      <t>ИЮНЬ</t>
    </r>
    <r>
      <rPr>
        <sz val="16"/>
        <color theme="1"/>
        <rFont val="Times New Roman"/>
        <family val="1"/>
        <charset val="204"/>
      </rPr>
      <t xml:space="preserve">__ год   </t>
    </r>
    <r>
      <rPr>
        <b/>
        <sz val="16"/>
        <color theme="1"/>
        <rFont val="Times New Roman"/>
        <family val="1"/>
        <charset val="204"/>
      </rPr>
      <t>2018</t>
    </r>
    <r>
      <rPr>
        <sz val="16"/>
        <color theme="1"/>
        <rFont val="Times New Roman"/>
        <family val="1"/>
        <charset val="204"/>
      </rPr>
      <t>__ 
Телефон контакта _8(846)269-13-14_ Наименование владельца специального счета _</t>
    </r>
    <r>
      <rPr>
        <b/>
        <sz val="16"/>
        <color theme="1"/>
        <rFont val="Times New Roman"/>
        <family val="1"/>
        <charset val="204"/>
      </rPr>
      <t>Товарищество собственников жилья «Кировское-2»</t>
    </r>
    <r>
      <rPr>
        <sz val="16"/>
        <color theme="1"/>
        <rFont val="Times New Roman"/>
        <family val="1"/>
        <charset val="204"/>
      </rPr>
      <t>__
ИНН владельца специального счета _</t>
    </r>
    <r>
      <rPr>
        <b/>
        <sz val="16"/>
        <color theme="1"/>
        <rFont val="Times New Roman"/>
        <family val="1"/>
        <charset val="204"/>
      </rPr>
      <t>6312048986</t>
    </r>
    <r>
      <rPr>
        <sz val="16"/>
        <color theme="1"/>
        <rFont val="Times New Roman"/>
        <family val="1"/>
        <charset val="204"/>
      </rPr>
      <t>_
Адрес местонахождения/Почтовый адрес владельца специального счета _</t>
    </r>
    <r>
      <rPr>
        <b/>
        <sz val="16"/>
        <color theme="1"/>
        <rFont val="Times New Roman"/>
        <family val="1"/>
        <charset val="204"/>
      </rPr>
      <t>443035 г.Самара, ул.Минская,25</t>
    </r>
    <r>
      <rPr>
        <sz val="16"/>
        <color theme="1"/>
        <rFont val="Times New Roman"/>
        <family val="1"/>
        <charset val="204"/>
      </rPr>
      <t xml:space="preserve">_
</t>
    </r>
  </si>
  <si>
    <t xml:space="preserve">с августа 2014г. по июнь 2016г.:  (5+12+6=23 мес.) :  ТАРИФ 5,84 руб/м2.;
с июля 2016г. по июнь 2018г.:  (6+12+6=24 мес.) :                                            ТАРИФ 6,27 руб/м2;                                                                                                                                                                     </t>
  </si>
  <si>
    <t>ПРОВЕРКА</t>
  </si>
  <si>
    <t xml:space="preserve">Ответственный исполнитель, Ф.И.О., должность ____председатель правления___// ______Андрющенко Г.В._______
                                                                                                                          (подпись,заверенная печатью)
</t>
  </si>
  <si>
    <t xml:space="preserve">Ответственный исполнитель, Ф.И.О., должность _____председатель правления___/ __________________ / ______Андрющенко Г.В.____
                                                                                                                          (подпись,заверенная печатью)
</t>
  </si>
  <si>
    <r>
      <t xml:space="preserve">Отчетный период: месяц ___СЕНТЯБРЬ__ год   </t>
    </r>
    <r>
      <rPr>
        <b/>
        <sz val="16"/>
        <color theme="1"/>
        <rFont val="Times New Roman"/>
        <family val="1"/>
        <charset val="204"/>
      </rPr>
      <t>2018</t>
    </r>
    <r>
      <rPr>
        <sz val="16"/>
        <color theme="1"/>
        <rFont val="Times New Roman"/>
        <family val="1"/>
        <charset val="204"/>
      </rPr>
      <t>__ 
Телефон контакта _8(846)269-13-14_ Наименование владельца специального счета _</t>
    </r>
    <r>
      <rPr>
        <b/>
        <sz val="16"/>
        <color theme="1"/>
        <rFont val="Times New Roman"/>
        <family val="1"/>
        <charset val="204"/>
      </rPr>
      <t>Товарищество собственников жилья «Кировское-2»</t>
    </r>
    <r>
      <rPr>
        <sz val="16"/>
        <color theme="1"/>
        <rFont val="Times New Roman"/>
        <family val="1"/>
        <charset val="204"/>
      </rPr>
      <t>__
ИНН владельца специального счета _</t>
    </r>
    <r>
      <rPr>
        <b/>
        <sz val="16"/>
        <color theme="1"/>
        <rFont val="Times New Roman"/>
        <family val="1"/>
        <charset val="204"/>
      </rPr>
      <t>6312048986</t>
    </r>
    <r>
      <rPr>
        <sz val="16"/>
        <color theme="1"/>
        <rFont val="Times New Roman"/>
        <family val="1"/>
        <charset val="204"/>
      </rPr>
      <t>_
Адрес местонахождения/Почтовый адрес владельца специального счета _</t>
    </r>
    <r>
      <rPr>
        <b/>
        <sz val="16"/>
        <color theme="1"/>
        <rFont val="Times New Roman"/>
        <family val="1"/>
        <charset val="204"/>
      </rPr>
      <t>443035 г.Самара, ул.Минская,25</t>
    </r>
    <r>
      <rPr>
        <sz val="16"/>
        <color theme="1"/>
        <rFont val="Times New Roman"/>
        <family val="1"/>
        <charset val="204"/>
      </rPr>
      <t xml:space="preserve">_
</t>
    </r>
  </si>
  <si>
    <t xml:space="preserve">с августа 2014г. по июнь 2016г.:  (5+12+6=23 мес.) :  ТАРИФ 5,84 руб/м2.;
с июля 2016г. по июнь 2018г.:  (6+12+6=24 мес.) :                                            ТАРИФ 6,27 руб/м2;                                                                                                                                                                         июл-сент 2018г.: (3 мес.) :   ТАРИФ 6,52 руб/м2.
</t>
  </si>
  <si>
    <r>
      <t xml:space="preserve">Отчетный период: месяц ___ОКТЯБРЬ__ год   </t>
    </r>
    <r>
      <rPr>
        <b/>
        <sz val="16"/>
        <color theme="1"/>
        <rFont val="Times New Roman"/>
        <family val="1"/>
        <charset val="204"/>
      </rPr>
      <t>2018</t>
    </r>
    <r>
      <rPr>
        <sz val="16"/>
        <color theme="1"/>
        <rFont val="Times New Roman"/>
        <family val="1"/>
        <charset val="204"/>
      </rPr>
      <t>__ 
Телефон контакта _8(846)269-13-14_ Наименование владельца специального счета _</t>
    </r>
    <r>
      <rPr>
        <b/>
        <sz val="16"/>
        <color theme="1"/>
        <rFont val="Times New Roman"/>
        <family val="1"/>
        <charset val="204"/>
      </rPr>
      <t>Товарищество собственников жилья «Кировское-2»</t>
    </r>
    <r>
      <rPr>
        <sz val="16"/>
        <color theme="1"/>
        <rFont val="Times New Roman"/>
        <family val="1"/>
        <charset val="204"/>
      </rPr>
      <t>__
ИНН владельца специального счета _</t>
    </r>
    <r>
      <rPr>
        <b/>
        <sz val="16"/>
        <color theme="1"/>
        <rFont val="Times New Roman"/>
        <family val="1"/>
        <charset val="204"/>
      </rPr>
      <t>6312048986</t>
    </r>
    <r>
      <rPr>
        <sz val="16"/>
        <color theme="1"/>
        <rFont val="Times New Roman"/>
        <family val="1"/>
        <charset val="204"/>
      </rPr>
      <t>_
Адрес местонахождения/Почтовый адрес владельца специального счета _</t>
    </r>
    <r>
      <rPr>
        <b/>
        <sz val="16"/>
        <color theme="1"/>
        <rFont val="Times New Roman"/>
        <family val="1"/>
        <charset val="204"/>
      </rPr>
      <t>443035 г.Самара, ул.Минская,25</t>
    </r>
    <r>
      <rPr>
        <sz val="16"/>
        <color theme="1"/>
        <rFont val="Times New Roman"/>
        <family val="1"/>
        <charset val="204"/>
      </rPr>
      <t xml:space="preserve">_
</t>
    </r>
  </si>
  <si>
    <t xml:space="preserve">с августа 2014г. по июнь 2016г.:  (5+12+6=23 мес.) :  ТАРИФ 5,84 руб/м2.;
с июля 2016г. по июнь 2018г.:  (6+12+6=24 мес.) :                                            ТАРИФ 6,27 руб/м2;                                                                                                                                                                         июл-нояб 2018г.: (5 мес.) :   ТАРИФ 6,52 руб/м2.
</t>
  </si>
  <si>
    <r>
      <t xml:space="preserve">Отчетный период: месяц   НОЯБРЬ год   </t>
    </r>
    <r>
      <rPr>
        <b/>
        <sz val="18"/>
        <color theme="1"/>
        <rFont val="Times New Roman"/>
        <family val="1"/>
        <charset val="204"/>
      </rPr>
      <t>2018</t>
    </r>
    <r>
      <rPr>
        <sz val="18"/>
        <color theme="1"/>
        <rFont val="Times New Roman"/>
        <family val="1"/>
        <charset val="204"/>
      </rPr>
      <t>__ 
Телефон контакта _8(846)269-13-14_ Наименование владельца специального счета _</t>
    </r>
    <r>
      <rPr>
        <b/>
        <sz val="18"/>
        <color theme="1"/>
        <rFont val="Times New Roman"/>
        <family val="1"/>
        <charset val="204"/>
      </rPr>
      <t>Товарищество собственников жилья «Кировское-2»</t>
    </r>
    <r>
      <rPr>
        <sz val="18"/>
        <color theme="1"/>
        <rFont val="Times New Roman"/>
        <family val="1"/>
        <charset val="204"/>
      </rPr>
      <t>__
ИНН владельца специального счета _</t>
    </r>
    <r>
      <rPr>
        <b/>
        <sz val="18"/>
        <color theme="1"/>
        <rFont val="Times New Roman"/>
        <family val="1"/>
        <charset val="204"/>
      </rPr>
      <t>6312048986</t>
    </r>
    <r>
      <rPr>
        <sz val="18"/>
        <color theme="1"/>
        <rFont val="Times New Roman"/>
        <family val="1"/>
        <charset val="204"/>
      </rPr>
      <t>_
Адрес местонахождения/Почтовый адрес владельца специального счета _</t>
    </r>
    <r>
      <rPr>
        <b/>
        <sz val="18"/>
        <color theme="1"/>
        <rFont val="Times New Roman"/>
        <family val="1"/>
        <charset val="204"/>
      </rPr>
      <t>443035 г.Самара, ул.Минская,25</t>
    </r>
    <r>
      <rPr>
        <sz val="18"/>
        <color theme="1"/>
        <rFont val="Times New Roman"/>
        <family val="1"/>
        <charset val="204"/>
      </rPr>
      <t xml:space="preserve">_
</t>
    </r>
  </si>
  <si>
    <r>
      <t>Сведения о размере израсходованных средств</t>
    </r>
    <r>
      <rPr>
        <b/>
        <sz val="18"/>
        <color theme="1"/>
        <rFont val="Times New Roman"/>
        <family val="1"/>
        <charset val="204"/>
      </rPr>
      <t xml:space="preserve"> </t>
    </r>
    <r>
      <rPr>
        <sz val="18"/>
        <color theme="1"/>
        <rFont val="Times New Roman"/>
        <family val="1"/>
        <charset val="204"/>
      </rPr>
      <t>на капитальный ремонт со специального счета, владельцем которого является ТСЖ, ЖК либо УК</t>
    </r>
  </si>
  <si>
    <r>
      <t xml:space="preserve">Отчетный период: месяц   ЯНВАРЬ  год   </t>
    </r>
    <r>
      <rPr>
        <b/>
        <sz val="18"/>
        <color theme="1"/>
        <rFont val="Times New Roman"/>
        <family val="1"/>
        <charset val="204"/>
      </rPr>
      <t>2019</t>
    </r>
    <r>
      <rPr>
        <sz val="18"/>
        <color theme="1"/>
        <rFont val="Times New Roman"/>
        <family val="1"/>
        <charset val="204"/>
      </rPr>
      <t>__ 
Телефон контакта _8(846)269-13-14_ Наименование владельца специального счета _</t>
    </r>
    <r>
      <rPr>
        <b/>
        <sz val="18"/>
        <color theme="1"/>
        <rFont val="Times New Roman"/>
        <family val="1"/>
        <charset val="204"/>
      </rPr>
      <t>Товарищество собственников жилья «Кировское-2»</t>
    </r>
    <r>
      <rPr>
        <sz val="18"/>
        <color theme="1"/>
        <rFont val="Times New Roman"/>
        <family val="1"/>
        <charset val="204"/>
      </rPr>
      <t>__
ИНН владельца специального счета _</t>
    </r>
    <r>
      <rPr>
        <b/>
        <sz val="18"/>
        <color theme="1"/>
        <rFont val="Times New Roman"/>
        <family val="1"/>
        <charset val="204"/>
      </rPr>
      <t>6312048986</t>
    </r>
    <r>
      <rPr>
        <sz val="18"/>
        <color theme="1"/>
        <rFont val="Times New Roman"/>
        <family val="1"/>
        <charset val="204"/>
      </rPr>
      <t>_
Адрес местонахождения/Почтовый адрес владельца специального счета _</t>
    </r>
    <r>
      <rPr>
        <b/>
        <sz val="18"/>
        <color theme="1"/>
        <rFont val="Times New Roman"/>
        <family val="1"/>
        <charset val="204"/>
      </rPr>
      <t>443035 г.Самара, ул.Минская,25</t>
    </r>
    <r>
      <rPr>
        <sz val="18"/>
        <color theme="1"/>
        <rFont val="Times New Roman"/>
        <family val="1"/>
        <charset val="204"/>
      </rPr>
      <t xml:space="preserve">_
</t>
    </r>
  </si>
  <si>
    <t xml:space="preserve">с августа 2014г. по июнь 2016г.:  (5+12+6=23 мес.) :  ТАРИФ 5,84 руб/м2.;
с июля 2016г. по июнь 2018г.:  (6+12+6=24 мес.) :                                            ТАРИФ 6,27 руб/м2;                                                                                                                                                                         июл 2018г. - февр 2019: (8 мес.) :   ТАРИФ 6,52 руб/м2.
</t>
  </si>
  <si>
    <r>
      <t xml:space="preserve">Отчетный период: месяц  ДЕКАБРЬ год   </t>
    </r>
    <r>
      <rPr>
        <b/>
        <sz val="18"/>
        <color theme="1"/>
        <rFont val="Times New Roman"/>
        <family val="1"/>
        <charset val="204"/>
      </rPr>
      <t>2018</t>
    </r>
    <r>
      <rPr>
        <sz val="18"/>
        <color theme="1"/>
        <rFont val="Times New Roman"/>
        <family val="1"/>
        <charset val="204"/>
      </rPr>
      <t>__ 
Телефон контакта _8(846)269-13-14_ Наименование владельца специального счета _</t>
    </r>
    <r>
      <rPr>
        <b/>
        <sz val="18"/>
        <color theme="1"/>
        <rFont val="Times New Roman"/>
        <family val="1"/>
        <charset val="204"/>
      </rPr>
      <t>Товарищество собственников жилья «Кировское-2»</t>
    </r>
    <r>
      <rPr>
        <sz val="18"/>
        <color theme="1"/>
        <rFont val="Times New Roman"/>
        <family val="1"/>
        <charset val="204"/>
      </rPr>
      <t>__
ИНН владельца специального счета _</t>
    </r>
    <r>
      <rPr>
        <b/>
        <sz val="18"/>
        <color theme="1"/>
        <rFont val="Times New Roman"/>
        <family val="1"/>
        <charset val="204"/>
      </rPr>
      <t>6312048986</t>
    </r>
    <r>
      <rPr>
        <sz val="18"/>
        <color theme="1"/>
        <rFont val="Times New Roman"/>
        <family val="1"/>
        <charset val="204"/>
      </rPr>
      <t>_
Адрес местонахождения/Почтовый адрес владельца специального счета _</t>
    </r>
    <r>
      <rPr>
        <b/>
        <sz val="18"/>
        <color theme="1"/>
        <rFont val="Times New Roman"/>
        <family val="1"/>
        <charset val="204"/>
      </rPr>
      <t>443035 г.Самара, ул.Минская,25</t>
    </r>
    <r>
      <rPr>
        <sz val="18"/>
        <color theme="1"/>
        <rFont val="Times New Roman"/>
        <family val="1"/>
        <charset val="204"/>
      </rPr>
      <t xml:space="preserve">_
</t>
    </r>
  </si>
  <si>
    <r>
      <t xml:space="preserve">Отчетный период: месяц   МАР  год   </t>
    </r>
    <r>
      <rPr>
        <b/>
        <sz val="16"/>
        <color theme="1"/>
        <rFont val="Times New Roman"/>
        <family val="1"/>
        <charset val="204"/>
      </rPr>
      <t>2019</t>
    </r>
    <r>
      <rPr>
        <sz val="16"/>
        <color theme="1"/>
        <rFont val="Times New Roman"/>
        <family val="1"/>
        <charset val="204"/>
      </rPr>
      <t>__ 
Телефон контакта _8(846)269-13-14_ Наименование владельца специального счета _</t>
    </r>
    <r>
      <rPr>
        <b/>
        <sz val="16"/>
        <color theme="1"/>
        <rFont val="Times New Roman"/>
        <family val="1"/>
        <charset val="204"/>
      </rPr>
      <t>Товарищество собственников жилья «Кировское-2»</t>
    </r>
    <r>
      <rPr>
        <sz val="16"/>
        <color theme="1"/>
        <rFont val="Times New Roman"/>
        <family val="1"/>
        <charset val="204"/>
      </rPr>
      <t>__
ИНН владельца специального счета _</t>
    </r>
    <r>
      <rPr>
        <b/>
        <sz val="16"/>
        <color theme="1"/>
        <rFont val="Times New Roman"/>
        <family val="1"/>
        <charset val="204"/>
      </rPr>
      <t>6312048986</t>
    </r>
    <r>
      <rPr>
        <sz val="16"/>
        <color theme="1"/>
        <rFont val="Times New Roman"/>
        <family val="1"/>
        <charset val="204"/>
      </rPr>
      <t>_
Адрес местонахождения/Почтовый адрес владельца специального счета _</t>
    </r>
    <r>
      <rPr>
        <b/>
        <sz val="16"/>
        <color theme="1"/>
        <rFont val="Times New Roman"/>
        <family val="1"/>
        <charset val="204"/>
      </rPr>
      <t>443035 г.Самара, ул.Минская,25</t>
    </r>
    <r>
      <rPr>
        <sz val="16"/>
        <color theme="1"/>
        <rFont val="Times New Roman"/>
        <family val="1"/>
        <charset val="204"/>
      </rPr>
      <t xml:space="preserve">_
</t>
    </r>
  </si>
  <si>
    <t xml:space="preserve">с августа 2014г. по июнь 2016г.:  (5+12+6=23 мес.) :  ТАРИФ 5,84 руб/м2.;
с июля 2016г. по июнь 2018г.:  (6+12+6=24 мес.) :                                            ТАРИФ 6,27 руб/м2;                                                                                                                                                                         июл 2018г. - март 2019: (9 мес.) :   ТАРИФ 6,52 руб/м2.
</t>
  </si>
  <si>
    <r>
      <t xml:space="preserve">Отчетный период: месяц   МАРТ  год   </t>
    </r>
    <r>
      <rPr>
        <b/>
        <sz val="16"/>
        <color theme="1"/>
        <rFont val="Times New Roman"/>
        <family val="1"/>
        <charset val="204"/>
      </rPr>
      <t>2019</t>
    </r>
    <r>
      <rPr>
        <sz val="16"/>
        <color theme="1"/>
        <rFont val="Times New Roman"/>
        <family val="1"/>
        <charset val="204"/>
      </rPr>
      <t>__ 
Телефон контакта _8(846)269-13-14_ Наименование владельца специального счета _</t>
    </r>
    <r>
      <rPr>
        <b/>
        <sz val="16"/>
        <color theme="1"/>
        <rFont val="Times New Roman"/>
        <family val="1"/>
        <charset val="204"/>
      </rPr>
      <t>Товарищество собственников жилья «Кировское-2»</t>
    </r>
    <r>
      <rPr>
        <sz val="16"/>
        <color theme="1"/>
        <rFont val="Times New Roman"/>
        <family val="1"/>
        <charset val="204"/>
      </rPr>
      <t>__
ИНН владельца специального счета _</t>
    </r>
    <r>
      <rPr>
        <b/>
        <sz val="16"/>
        <color theme="1"/>
        <rFont val="Times New Roman"/>
        <family val="1"/>
        <charset val="204"/>
      </rPr>
      <t>6312048986</t>
    </r>
    <r>
      <rPr>
        <sz val="16"/>
        <color theme="1"/>
        <rFont val="Times New Roman"/>
        <family val="1"/>
        <charset val="204"/>
      </rPr>
      <t>_
Адрес местонахождения/Почтовый адрес владельца специального счета _</t>
    </r>
    <r>
      <rPr>
        <b/>
        <sz val="16"/>
        <color theme="1"/>
        <rFont val="Times New Roman"/>
        <family val="1"/>
        <charset val="204"/>
      </rPr>
      <t>443035 г.Самара, ул.Минская,25</t>
    </r>
    <r>
      <rPr>
        <sz val="16"/>
        <color theme="1"/>
        <rFont val="Times New Roman"/>
        <family val="1"/>
        <charset val="204"/>
      </rPr>
      <t xml:space="preserve">_
</t>
    </r>
  </si>
  <si>
    <t xml:space="preserve">с августа 2014г. по июнь 2016г.:  (5+12+6=23 мес.) :  ТАРИФ 5,84 руб/м2.;
с июля 2016г. по июнь 2018г.:  (6+12+6=24 мес.) :                                            ТАРИФ 6,27 руб/м2;                                                                                                                                                                         июл-окт 2018г.: (4 мес.) :   ТАРИФ 6,52 руб/м2.
</t>
  </si>
  <si>
    <t xml:space="preserve">с августа 2014г. по июнь 2016г.:  (5+12+6=23 мес.) :  ТАРИФ 5,84 руб/м2.;
с июля 2016г. по июнь 2018г.:  (6+12+6=24 мес.) :                                            ТАРИФ 6,27 руб/м2;                                                                                                                                                                         июл-нояб 2018г.: (6 мес.) :   ТАРИФ 6,52 руб/м2.
</t>
  </si>
  <si>
    <t xml:space="preserve">с августа 2014г. по июнь 2016г.:  (5+12+6=23 мес.) :  ТАРИФ 5,84 руб/м2.;
с июля 2016г. по июнь 2018г.:  (6+12+6=24 мес.) :                                            ТАРИФ 6,27 руб/м2;                                                                                                                                                                         июл 2018г.- янв 2019 - : (7 мес.) :   ТАРИФ 6,52 руб/м2.
</t>
  </si>
  <si>
    <r>
      <t>Сведения о размере израсходованных средств</t>
    </r>
    <r>
      <rPr>
        <b/>
        <sz val="18"/>
        <color theme="1"/>
        <rFont val="Times New Roman"/>
        <family val="1"/>
        <charset val="204"/>
      </rPr>
      <t xml:space="preserve"> </t>
    </r>
    <r>
      <rPr>
        <sz val="18"/>
        <color theme="1"/>
        <rFont val="Times New Roman"/>
        <family val="1"/>
        <charset val="204"/>
      </rPr>
      <t>на кап. ремонт со специального счета, владельцем кот. является ТСЖ, ЖК либо УК</t>
    </r>
  </si>
  <si>
    <t xml:space="preserve">с августа 2014г. по июнь 2016г.:  (5+12+6=23 мес.) :  ТАРИФ 5,84 руб/м2.;
с июля 2016г. по июнь 2018г.:  (6+12+6=24 мес.) :                                            ТАРИФ 6,27 руб/м2;                                                                                                                                                                         июл 2018г. - апр 2019: (10 мес.) :   ТАРИФ 6,52 руб/м2.
</t>
  </si>
  <si>
    <r>
      <t xml:space="preserve">Отчетный период: месяц   АПРЕЛЬ  год   </t>
    </r>
    <r>
      <rPr>
        <b/>
        <sz val="16"/>
        <color theme="1"/>
        <rFont val="Times New Roman"/>
        <family val="1"/>
        <charset val="204"/>
      </rPr>
      <t>2019</t>
    </r>
    <r>
      <rPr>
        <sz val="16"/>
        <color theme="1"/>
        <rFont val="Times New Roman"/>
        <family val="1"/>
        <charset val="204"/>
      </rPr>
      <t>__ 
Телефон контакта _8(846)269-13-14_ Наименование владельца специального счета _</t>
    </r>
    <r>
      <rPr>
        <b/>
        <sz val="16"/>
        <color theme="1"/>
        <rFont val="Times New Roman"/>
        <family val="1"/>
        <charset val="204"/>
      </rPr>
      <t>Товарищество собственников жилья «Кировское-2»</t>
    </r>
    <r>
      <rPr>
        <sz val="16"/>
        <color theme="1"/>
        <rFont val="Times New Roman"/>
        <family val="1"/>
        <charset val="204"/>
      </rPr>
      <t>__
ИНН владельца специального счета _</t>
    </r>
    <r>
      <rPr>
        <b/>
        <sz val="16"/>
        <color theme="1"/>
        <rFont val="Times New Roman"/>
        <family val="1"/>
        <charset val="204"/>
      </rPr>
      <t>6312048986</t>
    </r>
    <r>
      <rPr>
        <sz val="16"/>
        <color theme="1"/>
        <rFont val="Times New Roman"/>
        <family val="1"/>
        <charset val="204"/>
      </rPr>
      <t>_
Адрес местонахождения/Почтовый адрес владельца специального счета _</t>
    </r>
    <r>
      <rPr>
        <b/>
        <sz val="16"/>
        <color theme="1"/>
        <rFont val="Times New Roman"/>
        <family val="1"/>
        <charset val="204"/>
      </rPr>
      <t>443035 г.Самара, ул.Минская,25</t>
    </r>
    <r>
      <rPr>
        <sz val="16"/>
        <color theme="1"/>
        <rFont val="Times New Roman"/>
        <family val="1"/>
        <charset val="204"/>
      </rPr>
      <t xml:space="preserve">_
</t>
    </r>
  </si>
  <si>
    <r>
      <t xml:space="preserve">Отчетный период: месяц   МАЙ  год   </t>
    </r>
    <r>
      <rPr>
        <b/>
        <sz val="16"/>
        <color theme="1"/>
        <rFont val="Times New Roman"/>
        <family val="1"/>
        <charset val="204"/>
      </rPr>
      <t>2019</t>
    </r>
    <r>
      <rPr>
        <sz val="16"/>
        <color theme="1"/>
        <rFont val="Times New Roman"/>
        <family val="1"/>
        <charset val="204"/>
      </rPr>
      <t>__ 
Телефон контакта _8(846)269-13-14_ Наименование владельца специального счета _</t>
    </r>
    <r>
      <rPr>
        <b/>
        <sz val="16"/>
        <color theme="1"/>
        <rFont val="Times New Roman"/>
        <family val="1"/>
        <charset val="204"/>
      </rPr>
      <t>Товарищество собственников жилья «Кировское-2»</t>
    </r>
    <r>
      <rPr>
        <sz val="16"/>
        <color theme="1"/>
        <rFont val="Times New Roman"/>
        <family val="1"/>
        <charset val="204"/>
      </rPr>
      <t>__
ИНН владельца специального счета _</t>
    </r>
    <r>
      <rPr>
        <b/>
        <sz val="16"/>
        <color theme="1"/>
        <rFont val="Times New Roman"/>
        <family val="1"/>
        <charset val="204"/>
      </rPr>
      <t>6312048986</t>
    </r>
    <r>
      <rPr>
        <sz val="16"/>
        <color theme="1"/>
        <rFont val="Times New Roman"/>
        <family val="1"/>
        <charset val="204"/>
      </rPr>
      <t>_
Адрес местонахождения/Почтовый адрес владельца специального счета _</t>
    </r>
    <r>
      <rPr>
        <b/>
        <sz val="16"/>
        <color theme="1"/>
        <rFont val="Times New Roman"/>
        <family val="1"/>
        <charset val="204"/>
      </rPr>
      <t>443035 г.Самара, ул.Минская,25</t>
    </r>
    <r>
      <rPr>
        <sz val="16"/>
        <color theme="1"/>
        <rFont val="Times New Roman"/>
        <family val="1"/>
        <charset val="204"/>
      </rPr>
      <t xml:space="preserve">_
</t>
    </r>
  </si>
  <si>
    <t xml:space="preserve">с августа 2014г. по июнь 2016г.:  (5+12+6=23 мес.) :  ТАРИФ 5,84 руб/м2.;
с июля 2016г. по июнь 2018г.:  (6+12+6=24 мес.) :                                            ТАРИФ 6,27 руб/м2;                                                                                                                                                                         июл 2018г. - май 2019: (11 мес.) :   ТАРИФ 6,52 руб/м2.
</t>
  </si>
  <si>
    <r>
      <t xml:space="preserve">Отчетный период: месяц  ИЮНЬ  год   </t>
    </r>
    <r>
      <rPr>
        <b/>
        <sz val="16"/>
        <color theme="1"/>
        <rFont val="Times New Roman"/>
        <family val="1"/>
        <charset val="204"/>
      </rPr>
      <t>2019</t>
    </r>
    <r>
      <rPr>
        <sz val="16"/>
        <color theme="1"/>
        <rFont val="Times New Roman"/>
        <family val="1"/>
        <charset val="204"/>
      </rPr>
      <t>__ 
Телефон контакта _8(846)269-13-14_ Наименование владельца специального счета _</t>
    </r>
    <r>
      <rPr>
        <b/>
        <sz val="16"/>
        <color theme="1"/>
        <rFont val="Times New Roman"/>
        <family val="1"/>
        <charset val="204"/>
      </rPr>
      <t>Товарищество собственников жилья «Кировское-2»</t>
    </r>
    <r>
      <rPr>
        <sz val="16"/>
        <color theme="1"/>
        <rFont val="Times New Roman"/>
        <family val="1"/>
        <charset val="204"/>
      </rPr>
      <t>__
ИНН владельца специального счета _</t>
    </r>
    <r>
      <rPr>
        <b/>
        <sz val="16"/>
        <color theme="1"/>
        <rFont val="Times New Roman"/>
        <family val="1"/>
        <charset val="204"/>
      </rPr>
      <t>6312048986</t>
    </r>
    <r>
      <rPr>
        <sz val="16"/>
        <color theme="1"/>
        <rFont val="Times New Roman"/>
        <family val="1"/>
        <charset val="204"/>
      </rPr>
      <t>_
Адрес местонахождения/Почтовый адрес владельца специального счета _</t>
    </r>
    <r>
      <rPr>
        <b/>
        <sz val="16"/>
        <color theme="1"/>
        <rFont val="Times New Roman"/>
        <family val="1"/>
        <charset val="204"/>
      </rPr>
      <t>443035 г.Самара, ул.Минская,25</t>
    </r>
    <r>
      <rPr>
        <sz val="16"/>
        <color theme="1"/>
        <rFont val="Times New Roman"/>
        <family val="1"/>
        <charset val="204"/>
      </rPr>
      <t xml:space="preserve">_
</t>
    </r>
  </si>
  <si>
    <t xml:space="preserve">с августа 2014г. по июнь 2016г.:  (5+12+6=23 мес.) :  ТАРИФ 5,84 руб/м2.;
с июля 2016г. по июнь 2018г.:  (6+12+6=24 мес.) :                                            ТАРИФ 6,27 руб/м2;                                                                                                                                                                         июл 2018г. - июнь 2019: (12 мес.) :   ТАРИФ 6,52 руб/м2.
</t>
  </si>
  <si>
    <t xml:space="preserve">с августа 2014г. по июнь 2016г.:  (5+12+6=23 мес.) :  ТАРИФ 5,84 руб/м2.;
с июля 2016г. по июнь 2018г.:  (6+12+6=24 мес.) :                                            ТАРИФ 6,27 руб/м2;                                                                                                                                                                         июл 2018г. - июль 2019: (13 мес.) :   ТАРИФ 6,52 руб/м2.
</t>
  </si>
  <si>
    <r>
      <t xml:space="preserve">Отчетный период: месяц  </t>
    </r>
    <r>
      <rPr>
        <i/>
        <u/>
        <sz val="22"/>
        <color theme="1"/>
        <rFont val="Times New Roman"/>
        <family val="1"/>
        <charset val="204"/>
      </rPr>
      <t xml:space="preserve">ИЮЛЬ </t>
    </r>
    <r>
      <rPr>
        <sz val="22"/>
        <color theme="1"/>
        <rFont val="Times New Roman"/>
        <family val="1"/>
        <charset val="204"/>
      </rPr>
      <t xml:space="preserve"> год   </t>
    </r>
    <r>
      <rPr>
        <b/>
        <sz val="22"/>
        <color theme="1"/>
        <rFont val="Times New Roman"/>
        <family val="1"/>
        <charset val="204"/>
      </rPr>
      <t>2019</t>
    </r>
    <r>
      <rPr>
        <sz val="22"/>
        <color theme="1"/>
        <rFont val="Times New Roman"/>
        <family val="1"/>
        <charset val="204"/>
      </rPr>
      <t xml:space="preserve">__ </t>
    </r>
    <r>
      <rPr>
        <sz val="16"/>
        <color theme="1"/>
        <rFont val="Times New Roman"/>
        <family val="1"/>
        <charset val="204"/>
      </rPr>
      <t xml:space="preserve">
Телефон контакта _8(846)269-13-14_ Наименование владельца специального счета _</t>
    </r>
    <r>
      <rPr>
        <b/>
        <sz val="16"/>
        <color theme="1"/>
        <rFont val="Times New Roman"/>
        <family val="1"/>
        <charset val="204"/>
      </rPr>
      <t>Товарищество собственников жилья «Кировское-2»</t>
    </r>
    <r>
      <rPr>
        <sz val="16"/>
        <color theme="1"/>
        <rFont val="Times New Roman"/>
        <family val="1"/>
        <charset val="204"/>
      </rPr>
      <t>__
ИНН владельца специального счета _</t>
    </r>
    <r>
      <rPr>
        <b/>
        <sz val="16"/>
        <color theme="1"/>
        <rFont val="Times New Roman"/>
        <family val="1"/>
        <charset val="204"/>
      </rPr>
      <t>6312048986</t>
    </r>
    <r>
      <rPr>
        <sz val="16"/>
        <color theme="1"/>
        <rFont val="Times New Roman"/>
        <family val="1"/>
        <charset val="204"/>
      </rPr>
      <t>_
Адрес местонахождения/Почтовый адрес владельца специального счета _</t>
    </r>
    <r>
      <rPr>
        <b/>
        <sz val="16"/>
        <color theme="1"/>
        <rFont val="Times New Roman"/>
        <family val="1"/>
        <charset val="204"/>
      </rPr>
      <t>443035 г.Самара, ул.Минская,25</t>
    </r>
    <r>
      <rPr>
        <sz val="16"/>
        <color theme="1"/>
        <rFont val="Times New Roman"/>
        <family val="1"/>
        <charset val="204"/>
      </rPr>
      <t xml:space="preserve">_
</t>
    </r>
  </si>
  <si>
    <r>
      <t xml:space="preserve">Отчетный период: месяц  </t>
    </r>
    <r>
      <rPr>
        <i/>
        <u/>
        <sz val="22"/>
        <color theme="1"/>
        <rFont val="Times New Roman"/>
        <family val="1"/>
        <charset val="204"/>
      </rPr>
      <t xml:space="preserve">АВГУСТ </t>
    </r>
    <r>
      <rPr>
        <sz val="22"/>
        <color theme="1"/>
        <rFont val="Times New Roman"/>
        <family val="1"/>
        <charset val="204"/>
      </rPr>
      <t xml:space="preserve"> год   </t>
    </r>
    <r>
      <rPr>
        <b/>
        <sz val="22"/>
        <color theme="1"/>
        <rFont val="Times New Roman"/>
        <family val="1"/>
        <charset val="204"/>
      </rPr>
      <t>2019</t>
    </r>
    <r>
      <rPr>
        <sz val="22"/>
        <color theme="1"/>
        <rFont val="Times New Roman"/>
        <family val="1"/>
        <charset val="204"/>
      </rPr>
      <t xml:space="preserve">__ </t>
    </r>
    <r>
      <rPr>
        <sz val="16"/>
        <color theme="1"/>
        <rFont val="Times New Roman"/>
        <family val="1"/>
        <charset val="204"/>
      </rPr>
      <t xml:space="preserve">
Телефон контакта _8(846)269-13-14_ Наименование владельца специального счета _</t>
    </r>
    <r>
      <rPr>
        <b/>
        <sz val="16"/>
        <color theme="1"/>
        <rFont val="Times New Roman"/>
        <family val="1"/>
        <charset val="204"/>
      </rPr>
      <t>Товарищество собственников жилья «Кировское-2»</t>
    </r>
    <r>
      <rPr>
        <sz val="16"/>
        <color theme="1"/>
        <rFont val="Times New Roman"/>
        <family val="1"/>
        <charset val="204"/>
      </rPr>
      <t>__
ИНН владельца специального счета _</t>
    </r>
    <r>
      <rPr>
        <b/>
        <sz val="16"/>
        <color theme="1"/>
        <rFont val="Times New Roman"/>
        <family val="1"/>
        <charset val="204"/>
      </rPr>
      <t>6312048986</t>
    </r>
    <r>
      <rPr>
        <sz val="16"/>
        <color theme="1"/>
        <rFont val="Times New Roman"/>
        <family val="1"/>
        <charset val="204"/>
      </rPr>
      <t>_
Адрес местонахождения/Почтовый адрес владельца специального счета _</t>
    </r>
    <r>
      <rPr>
        <b/>
        <sz val="16"/>
        <color theme="1"/>
        <rFont val="Times New Roman"/>
        <family val="1"/>
        <charset val="204"/>
      </rPr>
      <t>443035 г.Самара, ул.Минская,25</t>
    </r>
    <r>
      <rPr>
        <sz val="16"/>
        <color theme="1"/>
        <rFont val="Times New Roman"/>
        <family val="1"/>
        <charset val="204"/>
      </rPr>
      <t xml:space="preserve">_
</t>
    </r>
  </si>
  <si>
    <t xml:space="preserve">с августа 2014г. по июнь 2016г.: (5+12+6=23 мес.) :  ТАРИФ 5,84 руб/м2.;                                            с июля 2016г. по июнь 2018г.:  (6+12+6=24 мес.) :         ТАРИФ 6,27 руб/м2;                                                                                                                                                                         июл 2018г. -август 2019: (14 мес.) :                                                ТАРИФ 6,52 руб/м2.
</t>
  </si>
  <si>
    <r>
      <t xml:space="preserve">Отчетный период: месяц  </t>
    </r>
    <r>
      <rPr>
        <i/>
        <u/>
        <sz val="22"/>
        <color theme="1"/>
        <rFont val="Times New Roman"/>
        <family val="1"/>
        <charset val="204"/>
      </rPr>
      <t xml:space="preserve">СЕНТЯБРЬ </t>
    </r>
    <r>
      <rPr>
        <sz val="22"/>
        <color theme="1"/>
        <rFont val="Times New Roman"/>
        <family val="1"/>
        <charset val="204"/>
      </rPr>
      <t xml:space="preserve"> год   </t>
    </r>
    <r>
      <rPr>
        <b/>
        <sz val="22"/>
        <color theme="1"/>
        <rFont val="Times New Roman"/>
        <family val="1"/>
        <charset val="204"/>
      </rPr>
      <t>2019</t>
    </r>
    <r>
      <rPr>
        <sz val="22"/>
        <color theme="1"/>
        <rFont val="Times New Roman"/>
        <family val="1"/>
        <charset val="204"/>
      </rPr>
      <t xml:space="preserve">__ </t>
    </r>
    <r>
      <rPr>
        <sz val="16"/>
        <color theme="1"/>
        <rFont val="Times New Roman"/>
        <family val="1"/>
        <charset val="204"/>
      </rPr>
      <t xml:space="preserve">
Телефон контакта _8(846)269-13-14_ Наименование владельца специального счета _</t>
    </r>
    <r>
      <rPr>
        <b/>
        <sz val="16"/>
        <color theme="1"/>
        <rFont val="Times New Roman"/>
        <family val="1"/>
        <charset val="204"/>
      </rPr>
      <t>Товарищество собственников жилья «Кировское-2»</t>
    </r>
    <r>
      <rPr>
        <sz val="16"/>
        <color theme="1"/>
        <rFont val="Times New Roman"/>
        <family val="1"/>
        <charset val="204"/>
      </rPr>
      <t>__
ИНН владельца специального счета _</t>
    </r>
    <r>
      <rPr>
        <b/>
        <sz val="16"/>
        <color theme="1"/>
        <rFont val="Times New Roman"/>
        <family val="1"/>
        <charset val="204"/>
      </rPr>
      <t>6312048986</t>
    </r>
    <r>
      <rPr>
        <sz val="16"/>
        <color theme="1"/>
        <rFont val="Times New Roman"/>
        <family val="1"/>
        <charset val="204"/>
      </rPr>
      <t>_
Адрес местонахождения/Почтовый адрес владельца специального счета _</t>
    </r>
    <r>
      <rPr>
        <b/>
        <sz val="16"/>
        <color theme="1"/>
        <rFont val="Times New Roman"/>
        <family val="1"/>
        <charset val="204"/>
      </rPr>
      <t>443035 г.Самара, ул.Минская,25</t>
    </r>
    <r>
      <rPr>
        <sz val="16"/>
        <color theme="1"/>
        <rFont val="Times New Roman"/>
        <family val="1"/>
        <charset val="204"/>
      </rPr>
      <t xml:space="preserve">_
</t>
    </r>
  </si>
  <si>
    <t xml:space="preserve">с августа 2014г. по июнь 2016г.: (5+12+6=23 мес.) :  ТАРИФ 5,84 руб/м2.;                                            с июля 2016г. по июнь 2018г.:  (6+12+6=24 мес.) :         ТАРИФ 6,27 руб/м2;                                                                                                                                                                         июл 2018г. -сент 2019: (15 мес.) :                                                ТАРИФ 6,52 руб/м2.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</si>
</sst>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#,##0.00_ ;\-#,##0.00\ "/>
    <numFmt numFmtId="165" formatCode="#,##0.000_ ;\-#,##0.000\ "/>
    <numFmt numFmtId="166" formatCode="#,##0.000"/>
    <numFmt numFmtId="167" formatCode="_-* #,##0.0000\ _₽_-;\-* #,##0.0000\ _₽_-;_-* &quot;-&quot;??\ _₽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i/>
      <u/>
      <sz val="22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name val="Times New Roman"/>
      <family val="1"/>
      <charset val="204"/>
    </font>
    <font>
      <sz val="2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54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0" fillId="0" borderId="0" xfId="0" applyFont="1" applyBorder="1" applyAlignment="1"/>
    <xf numFmtId="0" fontId="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10" fontId="3" fillId="2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right" wrapText="1"/>
    </xf>
    <xf numFmtId="0" fontId="1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2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right" wrapText="1"/>
    </xf>
    <xf numFmtId="0" fontId="8" fillId="0" borderId="0" xfId="0" applyFont="1" applyFill="1" applyAlignment="1"/>
    <xf numFmtId="0" fontId="8" fillId="0" borderId="0" xfId="0" applyFont="1" applyFill="1" applyAlignment="1">
      <alignment wrapText="1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center" vertical="center"/>
    </xf>
    <xf numFmtId="2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/>
    <xf numFmtId="0" fontId="9" fillId="0" borderId="0" xfId="0" applyFont="1" applyFill="1" applyBorder="1" applyAlignment="1">
      <alignment horizontal="center" vertical="center" wrapText="1"/>
    </xf>
    <xf numFmtId="2" fontId="9" fillId="0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4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/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Alignment="1"/>
    <xf numFmtId="0" fontId="10" fillId="0" borderId="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right" wrapText="1"/>
    </xf>
    <xf numFmtId="0" fontId="11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3" fontId="8" fillId="0" borderId="0" xfId="0" applyNumberFormat="1" applyFont="1" applyFill="1"/>
    <xf numFmtId="164" fontId="8" fillId="3" borderId="0" xfId="0" applyNumberFormat="1" applyFont="1" applyFill="1" applyAlignment="1">
      <alignment wrapText="1"/>
    </xf>
    <xf numFmtId="164" fontId="8" fillId="3" borderId="0" xfId="0" applyNumberFormat="1" applyFont="1" applyFill="1"/>
    <xf numFmtId="165" fontId="8" fillId="0" borderId="1" xfId="1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/>
    </xf>
    <xf numFmtId="166" fontId="8" fillId="0" borderId="1" xfId="0" applyNumberFormat="1" applyFont="1" applyFill="1" applyBorder="1" applyAlignment="1">
      <alignment horizontal="center" vertical="center" wrapText="1"/>
    </xf>
    <xf numFmtId="166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right" wrapText="1"/>
    </xf>
    <xf numFmtId="0" fontId="8" fillId="0" borderId="0" xfId="0" applyFont="1" applyFill="1" applyAlignment="1"/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wrapText="1"/>
    </xf>
    <xf numFmtId="166" fontId="8" fillId="3" borderId="1" xfId="0" applyNumberFormat="1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Alignment="1"/>
    <xf numFmtId="0" fontId="10" fillId="0" borderId="1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right" wrapText="1"/>
    </xf>
    <xf numFmtId="0" fontId="9" fillId="0" borderId="0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12" fillId="0" borderId="0" xfId="0" applyFont="1" applyFill="1" applyAlignment="1">
      <alignment horizontal="center" vertical="center"/>
    </xf>
    <xf numFmtId="2" fontId="12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right" wrapText="1"/>
    </xf>
    <xf numFmtId="0" fontId="12" fillId="0" borderId="0" xfId="0" applyFont="1" applyFill="1" applyAlignment="1"/>
    <xf numFmtId="0" fontId="12" fillId="0" borderId="0" xfId="0" applyFont="1" applyFill="1" applyAlignment="1">
      <alignment wrapText="1"/>
    </xf>
    <xf numFmtId="0" fontId="12" fillId="0" borderId="0" xfId="0" applyFont="1" applyFill="1" applyBorder="1" applyAlignment="1">
      <alignment wrapText="1"/>
    </xf>
    <xf numFmtId="0" fontId="12" fillId="0" borderId="0" xfId="0" applyFont="1" applyFill="1" applyBorder="1" applyAlignment="1">
      <alignment horizontal="center" vertical="center"/>
    </xf>
    <xf numFmtId="2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/>
    <xf numFmtId="0" fontId="13" fillId="0" borderId="0" xfId="0" applyFont="1" applyFill="1" applyBorder="1" applyAlignment="1">
      <alignment horizontal="center" vertical="center" wrapText="1"/>
    </xf>
    <xf numFmtId="2" fontId="13" fillId="0" borderId="0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4" fontId="14" fillId="3" borderId="1" xfId="0" applyNumberFormat="1" applyFont="1" applyFill="1" applyBorder="1" applyAlignment="1">
      <alignment horizontal="center" vertical="center"/>
    </xf>
    <xf numFmtId="4" fontId="12" fillId="0" borderId="0" xfId="0" applyNumberFormat="1" applyFont="1" applyFill="1" applyAlignment="1">
      <alignment wrapText="1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165" fontId="12" fillId="0" borderId="1" xfId="1" applyNumberFormat="1" applyFont="1" applyFill="1" applyBorder="1" applyAlignment="1">
      <alignment horizontal="center" vertical="center" wrapText="1"/>
    </xf>
    <xf numFmtId="164" fontId="12" fillId="0" borderId="0" xfId="0" applyNumberFormat="1" applyFont="1" applyFill="1"/>
    <xf numFmtId="165" fontId="14" fillId="0" borderId="1" xfId="0" applyNumberFormat="1" applyFont="1" applyFill="1" applyBorder="1" applyAlignment="1">
      <alignment horizontal="center" vertical="center"/>
    </xf>
    <xf numFmtId="164" fontId="12" fillId="3" borderId="0" xfId="0" applyNumberFormat="1" applyFont="1" applyFill="1"/>
    <xf numFmtId="0" fontId="12" fillId="0" borderId="1" xfId="0" applyFont="1" applyFill="1" applyBorder="1" applyAlignment="1">
      <alignment horizontal="left" vertical="center" wrapText="1"/>
    </xf>
    <xf numFmtId="166" fontId="12" fillId="3" borderId="1" xfId="0" applyNumberFormat="1" applyFont="1" applyFill="1" applyBorder="1" applyAlignment="1">
      <alignment horizontal="center" vertical="center" wrapText="1"/>
    </xf>
    <xf numFmtId="166" fontId="14" fillId="0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right" wrapText="1"/>
    </xf>
    <xf numFmtId="0" fontId="12" fillId="0" borderId="0" xfId="0" applyFont="1" applyFill="1" applyAlignment="1"/>
    <xf numFmtId="0" fontId="13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12" fillId="0" borderId="0" xfId="0" applyFont="1" applyFill="1" applyAlignment="1"/>
    <xf numFmtId="0" fontId="14" fillId="0" borderId="1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right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right" wrapText="1"/>
    </xf>
    <xf numFmtId="0" fontId="12" fillId="0" borderId="0" xfId="0" applyFont="1" applyFill="1" applyAlignment="1"/>
    <xf numFmtId="0" fontId="13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12" fillId="0" borderId="0" xfId="0" applyFont="1" applyFill="1" applyAlignment="1"/>
    <xf numFmtId="0" fontId="14" fillId="0" borderId="1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right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right" wrapText="1"/>
    </xf>
    <xf numFmtId="0" fontId="12" fillId="0" borderId="0" xfId="0" applyFont="1" applyFill="1" applyAlignment="1"/>
    <xf numFmtId="0" fontId="13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wrapText="1"/>
    </xf>
    <xf numFmtId="167" fontId="12" fillId="0" borderId="0" xfId="1" applyNumberFormat="1" applyFont="1" applyFill="1"/>
    <xf numFmtId="4" fontId="12" fillId="0" borderId="0" xfId="0" applyNumberFormat="1" applyFont="1" applyFill="1"/>
    <xf numFmtId="0" fontId="12" fillId="0" borderId="0" xfId="0" applyFont="1" applyFill="1" applyBorder="1" applyAlignment="1">
      <alignment wrapText="1"/>
    </xf>
    <xf numFmtId="0" fontId="12" fillId="0" borderId="0" xfId="0" applyFont="1" applyFill="1" applyAlignment="1"/>
    <xf numFmtId="0" fontId="14" fillId="0" borderId="1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right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right" wrapText="1"/>
    </xf>
    <xf numFmtId="0" fontId="12" fillId="0" borderId="0" xfId="0" applyFont="1" applyFill="1" applyAlignment="1"/>
    <xf numFmtId="0" fontId="13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wrapText="1"/>
    </xf>
    <xf numFmtId="43" fontId="12" fillId="0" borderId="0" xfId="1" applyFont="1" applyFill="1" applyAlignment="1">
      <alignment wrapText="1"/>
    </xf>
    <xf numFmtId="0" fontId="14" fillId="0" borderId="1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right" wrapText="1"/>
    </xf>
    <xf numFmtId="0" fontId="12" fillId="0" borderId="0" xfId="0" applyFont="1" applyFill="1" applyAlignment="1"/>
    <xf numFmtId="0" fontId="13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12" fillId="0" borderId="0" xfId="0" applyFont="1" applyFill="1" applyAlignment="1"/>
    <xf numFmtId="0" fontId="14" fillId="0" borderId="1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right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wrapText="1"/>
    </xf>
    <xf numFmtId="0" fontId="12" fillId="0" borderId="0" xfId="0" applyFont="1" applyFill="1" applyAlignment="1"/>
    <xf numFmtId="0" fontId="14" fillId="0" borderId="1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right" wrapText="1"/>
    </xf>
    <xf numFmtId="0" fontId="13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wrapText="1"/>
    </xf>
    <xf numFmtId="0" fontId="19" fillId="0" borderId="0" xfId="0" applyFont="1" applyFill="1" applyBorder="1" applyAlignment="1">
      <alignment horizontal="center" vertical="center"/>
    </xf>
    <xf numFmtId="2" fontId="19" fillId="0" borderId="1" xfId="0" applyNumberFormat="1" applyFont="1" applyFill="1" applyBorder="1" applyAlignment="1">
      <alignment horizontal="center" vertical="center"/>
    </xf>
    <xf numFmtId="165" fontId="15" fillId="0" borderId="1" xfId="1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wrapText="1"/>
    </xf>
    <xf numFmtId="164" fontId="15" fillId="0" borderId="0" xfId="0" applyNumberFormat="1" applyFont="1" applyFill="1"/>
    <xf numFmtId="165" fontId="20" fillId="0" borderId="1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164" fontId="15" fillId="3" borderId="0" xfId="0" applyNumberFormat="1" applyFont="1" applyFill="1"/>
    <xf numFmtId="4" fontId="15" fillId="3" borderId="1" xfId="0" applyNumberFormat="1" applyFont="1" applyFill="1" applyBorder="1" applyAlignment="1">
      <alignment horizontal="center" vertical="center" wrapText="1"/>
    </xf>
    <xf numFmtId="2" fontId="20" fillId="0" borderId="1" xfId="0" applyNumberFormat="1" applyFont="1" applyFill="1" applyBorder="1" applyAlignment="1">
      <alignment horizontal="center" vertical="center"/>
    </xf>
    <xf numFmtId="166" fontId="20" fillId="0" borderId="1" xfId="0" applyNumberFormat="1" applyFont="1" applyFill="1" applyBorder="1" applyAlignment="1">
      <alignment horizontal="center" vertical="center"/>
    </xf>
    <xf numFmtId="4" fontId="20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/>
    <xf numFmtId="4" fontId="19" fillId="3" borderId="1" xfId="0" applyNumberFormat="1" applyFont="1" applyFill="1" applyBorder="1" applyAlignment="1">
      <alignment horizontal="center" vertical="center"/>
    </xf>
    <xf numFmtId="4" fontId="18" fillId="0" borderId="0" xfId="0" applyNumberFormat="1" applyFont="1" applyFill="1" applyAlignment="1">
      <alignment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/>
    <xf numFmtId="0" fontId="8" fillId="0" borderId="0" xfId="0" applyFont="1" applyFill="1" applyAlignment="1">
      <alignment horizontal="right" wrapText="1"/>
    </xf>
    <xf numFmtId="0" fontId="8" fillId="0" borderId="0" xfId="0" applyFont="1" applyFill="1" applyAlignment="1"/>
    <xf numFmtId="0" fontId="9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vertical="justify" wrapText="1"/>
    </xf>
    <xf numFmtId="0" fontId="8" fillId="0" borderId="0" xfId="0" applyFont="1" applyFill="1" applyAlignment="1">
      <alignment vertical="justify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2" fontId="10" fillId="0" borderId="6" xfId="0" applyNumberFormat="1" applyFont="1" applyFill="1" applyBorder="1" applyAlignment="1">
      <alignment horizontal="center" vertical="center"/>
    </xf>
    <xf numFmtId="2" fontId="10" fillId="0" borderId="7" xfId="0" applyNumberFormat="1" applyFont="1" applyFill="1" applyBorder="1" applyAlignment="1">
      <alignment horizontal="center" vertical="center"/>
    </xf>
    <xf numFmtId="2" fontId="10" fillId="0" borderId="8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wrapText="1"/>
    </xf>
    <xf numFmtId="0" fontId="11" fillId="0" borderId="2" xfId="0" applyFont="1" applyFill="1" applyBorder="1" applyAlignment="1">
      <alignment horizontal="center" vertical="center" textRotation="90" wrapText="1"/>
    </xf>
    <xf numFmtId="0" fontId="11" fillId="0" borderId="3" xfId="0" applyFont="1" applyFill="1" applyBorder="1" applyAlignment="1">
      <alignment horizontal="center" vertical="center" textRotation="90" wrapText="1"/>
    </xf>
    <xf numFmtId="0" fontId="11" fillId="0" borderId="4" xfId="0" applyFont="1" applyFill="1" applyBorder="1" applyAlignment="1">
      <alignment horizontal="center" vertical="center" textRotation="90" wrapText="1"/>
    </xf>
    <xf numFmtId="0" fontId="11" fillId="0" borderId="1" xfId="0" applyFont="1" applyFill="1" applyBorder="1" applyAlignment="1">
      <alignment horizontal="center" vertical="center" textRotation="90" wrapText="1"/>
    </xf>
    <xf numFmtId="0" fontId="11" fillId="0" borderId="1" xfId="0" applyFont="1" applyFill="1" applyBorder="1" applyAlignment="1">
      <alignment textRotation="90" wrapText="1"/>
    </xf>
    <xf numFmtId="0" fontId="8" fillId="0" borderId="5" xfId="0" applyFont="1" applyFill="1" applyBorder="1" applyAlignment="1">
      <alignment vertical="top" wrapText="1"/>
    </xf>
    <xf numFmtId="0" fontId="8" fillId="0" borderId="5" xfId="0" applyFont="1" applyFill="1" applyBorder="1" applyAlignment="1">
      <alignment vertical="top"/>
    </xf>
    <xf numFmtId="0" fontId="8" fillId="0" borderId="9" xfId="0" applyFont="1" applyFill="1" applyBorder="1" applyAlignment="1">
      <alignment vertical="top"/>
    </xf>
    <xf numFmtId="0" fontId="8" fillId="0" borderId="2" xfId="0" applyFont="1" applyFill="1" applyBorder="1" applyAlignment="1">
      <alignment horizontal="center" vertical="center" textRotation="90" wrapText="1"/>
    </xf>
    <xf numFmtId="0" fontId="8" fillId="0" borderId="3" xfId="0" applyFont="1" applyFill="1" applyBorder="1" applyAlignment="1">
      <alignment horizontal="center" vertical="center" textRotation="90" wrapText="1"/>
    </xf>
    <xf numFmtId="0" fontId="8" fillId="0" borderId="4" xfId="0" applyFont="1" applyFill="1" applyBorder="1" applyAlignment="1">
      <alignment horizontal="center" vertical="center" textRotation="90" wrapText="1"/>
    </xf>
    <xf numFmtId="0" fontId="8" fillId="0" borderId="1" xfId="0" applyFont="1" applyFill="1" applyBorder="1" applyAlignment="1">
      <alignment horizontal="center" vertical="center" textRotation="90" wrapText="1"/>
    </xf>
    <xf numFmtId="0" fontId="8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/>
    <xf numFmtId="0" fontId="12" fillId="0" borderId="0" xfId="0" applyFont="1" applyFill="1" applyAlignment="1">
      <alignment horizontal="right" wrapText="1"/>
    </xf>
    <xf numFmtId="0" fontId="12" fillId="0" borderId="0" xfId="0" applyFont="1" applyFill="1" applyAlignment="1"/>
    <xf numFmtId="0" fontId="13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vertical="justify" wrapText="1"/>
    </xf>
    <xf numFmtId="0" fontId="12" fillId="0" borderId="0" xfId="0" applyFont="1" applyFill="1" applyAlignment="1">
      <alignment vertical="justify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2" fontId="14" fillId="0" borderId="6" xfId="0" applyNumberFormat="1" applyFont="1" applyFill="1" applyBorder="1" applyAlignment="1">
      <alignment horizontal="center" vertical="center"/>
    </xf>
    <xf numFmtId="2" fontId="14" fillId="0" borderId="7" xfId="0" applyNumberFormat="1" applyFont="1" applyFill="1" applyBorder="1" applyAlignment="1">
      <alignment horizontal="center" vertical="center"/>
    </xf>
    <xf numFmtId="2" fontId="14" fillId="0" borderId="8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wrapText="1"/>
    </xf>
    <xf numFmtId="0" fontId="12" fillId="0" borderId="2" xfId="0" applyFont="1" applyFill="1" applyBorder="1" applyAlignment="1">
      <alignment horizontal="center" vertical="center" textRotation="90" wrapText="1"/>
    </xf>
    <xf numFmtId="0" fontId="12" fillId="0" borderId="3" xfId="0" applyFont="1" applyFill="1" applyBorder="1" applyAlignment="1">
      <alignment horizontal="center" vertical="center" textRotation="90" wrapText="1"/>
    </xf>
    <xf numFmtId="0" fontId="12" fillId="0" borderId="4" xfId="0" applyFont="1" applyFill="1" applyBorder="1" applyAlignment="1">
      <alignment horizontal="center" vertical="center" textRotation="90" wrapText="1"/>
    </xf>
    <xf numFmtId="0" fontId="12" fillId="0" borderId="1" xfId="0" applyFont="1" applyFill="1" applyBorder="1" applyAlignment="1">
      <alignment horizontal="center" vertical="center" textRotation="90" wrapText="1"/>
    </xf>
    <xf numFmtId="0" fontId="12" fillId="0" borderId="1" xfId="0" applyFont="1" applyFill="1" applyBorder="1" applyAlignment="1">
      <alignment textRotation="90" wrapText="1"/>
    </xf>
    <xf numFmtId="0" fontId="12" fillId="0" borderId="5" xfId="0" applyFont="1" applyFill="1" applyBorder="1" applyAlignment="1">
      <alignment vertical="top" wrapText="1"/>
    </xf>
    <xf numFmtId="0" fontId="12" fillId="0" borderId="5" xfId="0" applyFont="1" applyFill="1" applyBorder="1" applyAlignment="1">
      <alignment vertical="top"/>
    </xf>
    <xf numFmtId="0" fontId="12" fillId="0" borderId="9" xfId="0" applyFont="1" applyFill="1" applyBorder="1" applyAlignment="1">
      <alignment vertical="top"/>
    </xf>
    <xf numFmtId="0" fontId="18" fillId="0" borderId="0" xfId="0" applyFont="1" applyFill="1" applyBorder="1" applyAlignment="1">
      <alignment wrapText="1"/>
    </xf>
    <xf numFmtId="0" fontId="18" fillId="0" borderId="0" xfId="0" applyFont="1" applyFill="1" applyAlignment="1"/>
    <xf numFmtId="0" fontId="18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/>
    <xf numFmtId="0" fontId="1" fillId="0" borderId="0" xfId="0" applyFont="1" applyAlignment="1">
      <alignment horizontal="right" wrapText="1"/>
    </xf>
    <xf numFmtId="0" fontId="0" fillId="0" borderId="0" xfId="0" applyAlignment="1"/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textRotation="90" wrapText="1"/>
    </xf>
    <xf numFmtId="0" fontId="0" fillId="0" borderId="1" xfId="0" applyBorder="1" applyAlignment="1">
      <alignment wrapText="1"/>
    </xf>
    <xf numFmtId="0" fontId="1" fillId="0" borderId="5" xfId="0" applyFont="1" applyBorder="1" applyAlignment="1">
      <alignment wrapText="1"/>
    </xf>
    <xf numFmtId="0" fontId="0" fillId="0" borderId="5" xfId="0" applyBorder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55;&#1088;&#1080;&#1083;&#1086;&#1078;%202_&#1048;&#1070;&#1053;&#1068;%202018_%20&#1087;&#1086;%20&#1089;&#1087;&#1077;&#1094;.%20&#1089;&#1095;&#1077;&#1090;&#1072;&#108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&#1050;&#1086;&#1087;&#1080;&#1103;%20(3)%20&#1055;&#1088;&#1080;&#1083;&#1086;&#1078;&#1077;&#1085;&#1080;&#1077;%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 25"/>
      <sheetName val="Н 143"/>
      <sheetName val="К 4"/>
      <sheetName val="Ст 202"/>
      <sheetName val="Лист5"/>
    </sheetNames>
    <sheetDataSet>
      <sheetData sheetId="0">
        <row r="19">
          <cell r="E19">
            <v>5199632.5999999996</v>
          </cell>
          <cell r="F19">
            <v>4472264.6399999997</v>
          </cell>
          <cell r="G19">
            <v>5609950.3399999999</v>
          </cell>
          <cell r="H19">
            <v>4338980.4000000004</v>
          </cell>
          <cell r="I19">
            <v>3534237.01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.12.2017"/>
      <sheetName val="31.01.2018"/>
      <sheetName val="28.02.2018"/>
      <sheetName val="31.03.2018"/>
      <sheetName val="30.04.2018"/>
      <sheetName val="31.05.20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7">
          <cell r="I7">
            <v>4880615.0999999996</v>
          </cell>
        </row>
        <row r="8">
          <cell r="I8">
            <v>4215398.87</v>
          </cell>
        </row>
        <row r="9">
          <cell r="I9">
            <v>5310992.38</v>
          </cell>
        </row>
        <row r="10">
          <cell r="I10">
            <v>4080505.45</v>
          </cell>
        </row>
        <row r="11">
          <cell r="I11">
            <v>3298501.29</v>
          </cell>
        </row>
        <row r="13">
          <cell r="I13">
            <v>21786013.089999996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5"/>
  <sheetViews>
    <sheetView topLeftCell="F13" workbookViewId="0">
      <selection activeCell="T20" sqref="T20"/>
    </sheetView>
  </sheetViews>
  <sheetFormatPr defaultRowHeight="20.25" x14ac:dyDescent="0.3"/>
  <cols>
    <col min="1" max="1" width="0.42578125" style="29" customWidth="1"/>
    <col min="2" max="2" width="22.28515625" style="29" customWidth="1"/>
    <col min="3" max="3" width="99.5703125" style="29" customWidth="1"/>
    <col min="4" max="4" width="4.42578125" style="30" customWidth="1"/>
    <col min="5" max="5" width="38" style="31" customWidth="1"/>
    <col min="6" max="9" width="38" style="30" customWidth="1"/>
    <col min="10" max="10" width="0.140625" style="30" hidden="1" customWidth="1"/>
    <col min="11" max="11" width="3.5703125" style="30" hidden="1" customWidth="1"/>
    <col min="12" max="12" width="1.140625" style="30" customWidth="1"/>
    <col min="13" max="14" width="0.28515625" style="30" customWidth="1"/>
    <col min="15" max="15" width="0.7109375" style="29" customWidth="1"/>
    <col min="16" max="16" width="2.42578125" style="29" customWidth="1"/>
    <col min="17" max="17" width="23.42578125" style="29" customWidth="1"/>
    <col min="18" max="18" width="15.28515625" style="29" customWidth="1"/>
    <col min="19" max="19" width="9.140625" style="29"/>
    <col min="20" max="20" width="16.140625" style="29" customWidth="1"/>
    <col min="21" max="16384" width="9.140625" style="29"/>
  </cols>
  <sheetData>
    <row r="1" spans="2:19" ht="63.75" customHeight="1" x14ac:dyDescent="0.3">
      <c r="B1" s="191" t="s">
        <v>9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</row>
    <row r="2" spans="2:19" ht="6.75" customHeight="1" x14ac:dyDescent="0.3">
      <c r="O2" s="73"/>
      <c r="P2" s="74"/>
    </row>
    <row r="3" spans="2:19" ht="55.5" customHeight="1" x14ac:dyDescent="0.3">
      <c r="B3" s="193" t="s">
        <v>11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</row>
    <row r="4" spans="2:19" s="34" customFormat="1" ht="117.75" customHeight="1" x14ac:dyDescent="0.3">
      <c r="B4" s="194" t="s">
        <v>48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</row>
    <row r="5" spans="2:19" ht="4.5" customHeight="1" x14ac:dyDescent="0.3">
      <c r="C5" s="76"/>
      <c r="D5" s="36"/>
      <c r="E5" s="37"/>
      <c r="F5" s="36"/>
      <c r="G5" s="36"/>
      <c r="H5" s="36"/>
      <c r="I5" s="36"/>
      <c r="J5" s="36"/>
      <c r="K5" s="36"/>
      <c r="L5" s="36"/>
      <c r="M5" s="36"/>
      <c r="N5" s="36"/>
      <c r="O5" s="38"/>
      <c r="P5" s="38"/>
    </row>
    <row r="6" spans="2:19" ht="38.25" customHeight="1" x14ac:dyDescent="0.3">
      <c r="B6" s="196" t="s">
        <v>12</v>
      </c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</row>
    <row r="7" spans="2:19" ht="9.75" customHeight="1" x14ac:dyDescent="0.3">
      <c r="C7" s="75"/>
      <c r="D7" s="75"/>
      <c r="E7" s="40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</row>
    <row r="8" spans="2:19" s="44" customFormat="1" ht="25.5" customHeight="1" x14ac:dyDescent="0.25">
      <c r="B8" s="189" t="s">
        <v>6</v>
      </c>
      <c r="C8" s="197"/>
      <c r="D8" s="41">
        <v>1</v>
      </c>
      <c r="E8" s="42">
        <v>1</v>
      </c>
      <c r="F8" s="41">
        <v>2</v>
      </c>
      <c r="G8" s="42">
        <v>3</v>
      </c>
      <c r="H8" s="41">
        <v>4</v>
      </c>
      <c r="I8" s="42">
        <v>5</v>
      </c>
      <c r="J8" s="43"/>
      <c r="K8" s="43"/>
      <c r="L8" s="43"/>
      <c r="M8" s="43"/>
      <c r="N8" s="43"/>
      <c r="O8" s="43"/>
      <c r="P8" s="36"/>
    </row>
    <row r="9" spans="2:19" ht="20.25" customHeight="1" x14ac:dyDescent="0.3">
      <c r="B9" s="189" t="s">
        <v>8</v>
      </c>
      <c r="C9" s="190"/>
      <c r="D9" s="45">
        <v>2</v>
      </c>
      <c r="E9" s="46"/>
      <c r="F9" s="45"/>
      <c r="G9" s="45"/>
      <c r="H9" s="45"/>
      <c r="I9" s="45"/>
      <c r="J9" s="47"/>
      <c r="K9" s="47"/>
      <c r="L9" s="47"/>
      <c r="M9" s="47"/>
      <c r="N9" s="47"/>
      <c r="O9" s="76"/>
      <c r="P9" s="76"/>
      <c r="Q9" s="34"/>
      <c r="R9" s="34"/>
      <c r="S9" s="34"/>
    </row>
    <row r="10" spans="2:19" ht="35.25" customHeight="1" x14ac:dyDescent="0.3">
      <c r="B10" s="189" t="s">
        <v>23</v>
      </c>
      <c r="C10" s="190"/>
      <c r="D10" s="41">
        <v>3</v>
      </c>
      <c r="E10" s="48" t="s">
        <v>22</v>
      </c>
      <c r="F10" s="41" t="s">
        <v>24</v>
      </c>
      <c r="G10" s="41" t="s">
        <v>25</v>
      </c>
      <c r="H10" s="49" t="s">
        <v>26</v>
      </c>
      <c r="I10" s="49" t="s">
        <v>34</v>
      </c>
      <c r="J10" s="43"/>
      <c r="K10" s="43"/>
      <c r="L10" s="43"/>
      <c r="M10" s="43"/>
      <c r="N10" s="43"/>
      <c r="O10" s="76"/>
      <c r="P10" s="76"/>
      <c r="Q10" s="34"/>
      <c r="R10" s="34"/>
      <c r="S10" s="34"/>
    </row>
    <row r="11" spans="2:19" ht="20.25" customHeight="1" x14ac:dyDescent="0.3">
      <c r="B11" s="189" t="s">
        <v>0</v>
      </c>
      <c r="C11" s="190"/>
      <c r="D11" s="45">
        <v>4</v>
      </c>
      <c r="E11" s="78">
        <v>23674.6</v>
      </c>
      <c r="F11" s="78">
        <v>21486.799999999999</v>
      </c>
      <c r="G11" s="78">
        <v>25499.7</v>
      </c>
      <c r="H11" s="78">
        <v>20412.599999999999</v>
      </c>
      <c r="I11" s="78">
        <v>16455.599999999999</v>
      </c>
      <c r="J11" s="43"/>
      <c r="K11" s="43"/>
      <c r="L11" s="43"/>
      <c r="M11" s="43"/>
      <c r="N11" s="43"/>
      <c r="O11" s="76"/>
      <c r="P11" s="76"/>
      <c r="Q11" s="34"/>
      <c r="R11" s="34"/>
      <c r="S11" s="34"/>
    </row>
    <row r="12" spans="2:19" ht="36.75" customHeight="1" x14ac:dyDescent="0.3">
      <c r="B12" s="189" t="s">
        <v>1</v>
      </c>
      <c r="C12" s="190"/>
      <c r="D12" s="41">
        <v>5</v>
      </c>
      <c r="E12" s="46" t="s">
        <v>27</v>
      </c>
      <c r="F12" s="46" t="s">
        <v>27</v>
      </c>
      <c r="G12" s="46" t="s">
        <v>27</v>
      </c>
      <c r="H12" s="46" t="s">
        <v>27</v>
      </c>
      <c r="I12" s="46" t="s">
        <v>27</v>
      </c>
      <c r="J12" s="47"/>
      <c r="K12" s="47"/>
      <c r="L12" s="47"/>
      <c r="M12" s="47"/>
      <c r="N12" s="47"/>
      <c r="O12" s="76"/>
      <c r="P12" s="76"/>
      <c r="Q12" s="34"/>
      <c r="R12" s="34"/>
      <c r="S12" s="34"/>
    </row>
    <row r="13" spans="2:19" ht="21" customHeight="1" x14ac:dyDescent="0.3">
      <c r="B13" s="189" t="s">
        <v>2</v>
      </c>
      <c r="C13" s="190"/>
      <c r="D13" s="45">
        <v>6</v>
      </c>
      <c r="E13" s="198" t="s">
        <v>28</v>
      </c>
      <c r="F13" s="199"/>
      <c r="G13" s="199"/>
      <c r="H13" s="199"/>
      <c r="I13" s="200"/>
      <c r="J13" s="43"/>
      <c r="K13" s="43"/>
      <c r="L13" s="43"/>
      <c r="M13" s="43"/>
      <c r="N13" s="43"/>
      <c r="O13" s="76"/>
      <c r="P13" s="76"/>
      <c r="Q13" s="34"/>
      <c r="R13" s="34"/>
      <c r="S13" s="34"/>
    </row>
    <row r="14" spans="2:19" ht="20.25" customHeight="1" x14ac:dyDescent="0.3">
      <c r="B14" s="189" t="s">
        <v>3</v>
      </c>
      <c r="C14" s="190"/>
      <c r="D14" s="41">
        <v>7</v>
      </c>
      <c r="E14" s="51" t="s">
        <v>29</v>
      </c>
      <c r="F14" s="51" t="s">
        <v>30</v>
      </c>
      <c r="G14" s="51" t="s">
        <v>31</v>
      </c>
      <c r="H14" s="51" t="s">
        <v>32</v>
      </c>
      <c r="I14" s="51" t="s">
        <v>33</v>
      </c>
      <c r="J14" s="43"/>
      <c r="K14" s="43"/>
      <c r="L14" s="43"/>
      <c r="M14" s="43"/>
      <c r="N14" s="43"/>
      <c r="O14" s="76"/>
      <c r="P14" s="76"/>
      <c r="Q14" s="34"/>
      <c r="R14" s="34"/>
      <c r="S14" s="34"/>
    </row>
    <row r="15" spans="2:19" ht="48.75" customHeight="1" x14ac:dyDescent="0.3">
      <c r="B15" s="202" t="s">
        <v>15</v>
      </c>
      <c r="C15" s="72" t="s">
        <v>35</v>
      </c>
      <c r="D15" s="45">
        <v>8</v>
      </c>
      <c r="E15" s="68">
        <f>E11*6.52/1000</f>
        <v>154.35839199999998</v>
      </c>
      <c r="F15" s="68">
        <f t="shared" ref="F15:I15" si="0">F11*6.52/1000</f>
        <v>140.09393599999999</v>
      </c>
      <c r="G15" s="68">
        <f t="shared" si="0"/>
        <v>166.25804399999998</v>
      </c>
      <c r="H15" s="68">
        <f t="shared" si="0"/>
        <v>133.09015199999996</v>
      </c>
      <c r="I15" s="68">
        <f t="shared" si="0"/>
        <v>107.29051199999999</v>
      </c>
      <c r="J15" s="47"/>
      <c r="K15" s="47"/>
      <c r="L15" s="47"/>
      <c r="M15" s="47"/>
      <c r="N15" s="47"/>
      <c r="O15" s="76"/>
      <c r="P15" s="76"/>
      <c r="Q15" s="54">
        <f>SUM(E15:I15)</f>
        <v>701.09103599999992</v>
      </c>
      <c r="R15" s="34"/>
      <c r="S15" s="34"/>
    </row>
    <row r="16" spans="2:19" ht="48.75" customHeight="1" x14ac:dyDescent="0.3">
      <c r="B16" s="203"/>
      <c r="C16" s="72" t="s">
        <v>36</v>
      </c>
      <c r="D16" s="41">
        <v>9</v>
      </c>
      <c r="E16" s="69">
        <f>E19-'авг 2018'!E19</f>
        <v>150.61869000000115</v>
      </c>
      <c r="F16" s="69">
        <f>F19-'авг 2018'!F19</f>
        <v>146.54989999999907</v>
      </c>
      <c r="G16" s="69">
        <f>G19-'авг 2018'!G19</f>
        <v>166.86424000000079</v>
      </c>
      <c r="H16" s="69">
        <f>H19-'авг 2018'!H19</f>
        <v>116.45604000000003</v>
      </c>
      <c r="I16" s="69">
        <f>I19-'авг 2018'!I19</f>
        <v>101.21569999999974</v>
      </c>
      <c r="J16" s="43"/>
      <c r="K16" s="43"/>
      <c r="L16" s="43"/>
      <c r="M16" s="43"/>
      <c r="N16" s="43"/>
      <c r="O16" s="76"/>
      <c r="P16" s="76"/>
      <c r="Q16" s="67">
        <f>SUM(E16:I16)</f>
        <v>681.70457000000079</v>
      </c>
      <c r="R16" s="34"/>
      <c r="S16" s="34"/>
    </row>
    <row r="17" spans="2:20" ht="48.75" customHeight="1" x14ac:dyDescent="0.3">
      <c r="B17" s="204"/>
      <c r="C17" s="55" t="s">
        <v>37</v>
      </c>
      <c r="D17" s="45">
        <v>10</v>
      </c>
      <c r="E17" s="69">
        <v>0</v>
      </c>
      <c r="F17" s="69">
        <v>0</v>
      </c>
      <c r="G17" s="69">
        <v>0</v>
      </c>
      <c r="H17" s="69">
        <v>0</v>
      </c>
      <c r="I17" s="69">
        <v>0</v>
      </c>
      <c r="J17" s="43"/>
      <c r="K17" s="43"/>
      <c r="L17" s="43"/>
      <c r="M17" s="43"/>
      <c r="N17" s="43"/>
      <c r="O17" s="76"/>
      <c r="P17" s="76"/>
      <c r="Q17" s="54">
        <f t="shared" ref="Q17:Q20" si="1">SUM(E17:I17)</f>
        <v>0</v>
      </c>
      <c r="R17" s="34"/>
      <c r="S17" s="34"/>
    </row>
    <row r="18" spans="2:20" ht="48.75" customHeight="1" x14ac:dyDescent="0.3">
      <c r="B18" s="205" t="s">
        <v>16</v>
      </c>
      <c r="C18" s="72" t="s">
        <v>35</v>
      </c>
      <c r="D18" s="41">
        <v>11</v>
      </c>
      <c r="E18" s="69">
        <f>(E11*(5.84*23+6.27*24+6.52*3))/1000</f>
        <v>7205.6012559999981</v>
      </c>
      <c r="F18" s="69">
        <f t="shared" ref="F18:I18" si="2">(F11*(5.84*23+6.27*24+6.52*3))/1000</f>
        <v>6539.7224479999986</v>
      </c>
      <c r="G18" s="69">
        <f t="shared" si="2"/>
        <v>7761.0886919999984</v>
      </c>
      <c r="H18" s="69">
        <f t="shared" si="2"/>
        <v>6212.7789359999988</v>
      </c>
      <c r="I18" s="69">
        <f t="shared" si="2"/>
        <v>5008.4264159999993</v>
      </c>
      <c r="J18" s="43"/>
      <c r="K18" s="43"/>
      <c r="L18" s="43"/>
      <c r="M18" s="43"/>
      <c r="N18" s="43"/>
      <c r="O18" s="76"/>
      <c r="P18" s="76"/>
      <c r="Q18" s="54">
        <f t="shared" si="1"/>
        <v>32727.617747999993</v>
      </c>
      <c r="R18" s="34"/>
      <c r="S18" s="34"/>
      <c r="T18" s="29" t="s">
        <v>45</v>
      </c>
    </row>
    <row r="19" spans="2:20" ht="48.75" customHeight="1" x14ac:dyDescent="0.3">
      <c r="B19" s="206"/>
      <c r="C19" s="72" t="s">
        <v>36</v>
      </c>
      <c r="D19" s="45">
        <v>12</v>
      </c>
      <c r="E19" s="77">
        <f>5664916.73/1000</f>
        <v>5664.9167300000008</v>
      </c>
      <c r="F19" s="77">
        <f>4887655.06/1000</f>
        <v>4887.6550599999991</v>
      </c>
      <c r="G19" s="77">
        <f>6089914.42/1000</f>
        <v>6089.9144200000001</v>
      </c>
      <c r="H19" s="77">
        <f>4756021.42/1000</f>
        <v>4756.02142</v>
      </c>
      <c r="I19" s="77">
        <f>3870810.44/1000</f>
        <v>3870.8104399999997</v>
      </c>
      <c r="J19" s="47"/>
      <c r="K19" s="47"/>
      <c r="L19" s="47"/>
      <c r="M19" s="47"/>
      <c r="N19" s="47"/>
      <c r="O19" s="76"/>
      <c r="P19" s="76"/>
      <c r="Q19" s="54">
        <f t="shared" si="1"/>
        <v>25269.318070000001</v>
      </c>
      <c r="R19" s="34"/>
      <c r="S19" s="34"/>
      <c r="T19" s="67">
        <f>Q19-'авг 2018'!Q19</f>
        <v>681.7045700000017</v>
      </c>
    </row>
    <row r="20" spans="2:20" ht="48.75" customHeight="1" x14ac:dyDescent="0.3">
      <c r="B20" s="206"/>
      <c r="C20" s="55" t="s">
        <v>37</v>
      </c>
      <c r="D20" s="41">
        <v>13</v>
      </c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43"/>
      <c r="K20" s="43"/>
      <c r="L20" s="43"/>
      <c r="M20" s="43"/>
      <c r="N20" s="43"/>
      <c r="O20" s="76"/>
      <c r="P20" s="76"/>
      <c r="Q20" s="54">
        <f t="shared" si="1"/>
        <v>0</v>
      </c>
      <c r="R20" s="34"/>
      <c r="S20" s="34"/>
    </row>
    <row r="21" spans="2:20" ht="41.25" customHeight="1" x14ac:dyDescent="0.3">
      <c r="B21" s="189" t="s">
        <v>17</v>
      </c>
      <c r="C21" s="197"/>
      <c r="D21" s="45">
        <v>14</v>
      </c>
      <c r="E21" s="71">
        <f>E19-E20</f>
        <v>5664.9167300000008</v>
      </c>
      <c r="F21" s="71">
        <f t="shared" ref="F21:I21" si="3">F19-F20</f>
        <v>4887.6550599999991</v>
      </c>
      <c r="G21" s="71">
        <f t="shared" si="3"/>
        <v>6089.9144200000001</v>
      </c>
      <c r="H21" s="71">
        <f t="shared" si="3"/>
        <v>4756.02142</v>
      </c>
      <c r="I21" s="71">
        <f t="shared" si="3"/>
        <v>3870.8104399999997</v>
      </c>
      <c r="J21" s="43"/>
      <c r="K21" s="43"/>
      <c r="L21" s="43"/>
      <c r="M21" s="43"/>
      <c r="N21" s="43"/>
      <c r="O21" s="76"/>
      <c r="P21" s="76"/>
      <c r="Q21" s="54">
        <f>SUM(E21:I21)</f>
        <v>25269.318070000001</v>
      </c>
      <c r="R21" s="34"/>
      <c r="S21" s="34"/>
    </row>
    <row r="22" spans="2:20" ht="43.5" customHeight="1" x14ac:dyDescent="0.3">
      <c r="B22" s="189" t="s">
        <v>4</v>
      </c>
      <c r="C22" s="190"/>
      <c r="D22" s="41">
        <v>15</v>
      </c>
      <c r="E22" s="50">
        <f>(1-E19/E18)*100</f>
        <v>21.381762205021992</v>
      </c>
      <c r="F22" s="50">
        <f t="shared" ref="F22:I22" si="4">(1-F19/F18)*100</f>
        <v>25.26204133487715</v>
      </c>
      <c r="G22" s="50">
        <f t="shared" si="4"/>
        <v>21.532729985712152</v>
      </c>
      <c r="H22" s="50">
        <f t="shared" si="4"/>
        <v>23.447760350184122</v>
      </c>
      <c r="I22" s="50">
        <f t="shared" si="4"/>
        <v>22.71403993010167</v>
      </c>
      <c r="J22" s="43"/>
      <c r="K22" s="43"/>
      <c r="L22" s="43"/>
      <c r="M22" s="43"/>
      <c r="N22" s="43"/>
      <c r="Q22" s="50">
        <f t="shared" ref="Q22" si="5">(1-Q19/Q18)*100</f>
        <v>22.789008767543962</v>
      </c>
    </row>
    <row r="23" spans="2:20" ht="43.5" customHeight="1" x14ac:dyDescent="0.3">
      <c r="B23" s="189" t="s">
        <v>5</v>
      </c>
      <c r="C23" s="190"/>
      <c r="D23" s="45">
        <v>16</v>
      </c>
      <c r="E23" s="48" t="s">
        <v>20</v>
      </c>
      <c r="F23" s="48" t="s">
        <v>20</v>
      </c>
      <c r="G23" s="48" t="s">
        <v>20</v>
      </c>
      <c r="H23" s="48" t="s">
        <v>20</v>
      </c>
      <c r="I23" s="48" t="s">
        <v>20</v>
      </c>
      <c r="J23" s="43"/>
      <c r="K23" s="43"/>
      <c r="L23" s="43"/>
      <c r="M23" s="43"/>
      <c r="N23" s="43"/>
    </row>
    <row r="24" spans="2:20" ht="230.25" customHeight="1" x14ac:dyDescent="0.3">
      <c r="B24" s="207" t="s">
        <v>40</v>
      </c>
      <c r="C24" s="208"/>
      <c r="D24" s="208"/>
      <c r="E24" s="208"/>
      <c r="F24" s="208"/>
      <c r="G24" s="209"/>
      <c r="H24" s="63" t="s">
        <v>49</v>
      </c>
    </row>
    <row r="25" spans="2:20" ht="84.75" customHeight="1" x14ac:dyDescent="0.3">
      <c r="B25" s="201" t="s">
        <v>47</v>
      </c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</row>
  </sheetData>
  <mergeCells count="19">
    <mergeCell ref="B25:Q25"/>
    <mergeCell ref="B15:B17"/>
    <mergeCell ref="B18:B20"/>
    <mergeCell ref="B21:C21"/>
    <mergeCell ref="B22:C22"/>
    <mergeCell ref="B23:C23"/>
    <mergeCell ref="B24:G24"/>
    <mergeCell ref="B14:C14"/>
    <mergeCell ref="B1:P1"/>
    <mergeCell ref="B3:P3"/>
    <mergeCell ref="B4:P4"/>
    <mergeCell ref="B6:P6"/>
    <mergeCell ref="B8:C8"/>
    <mergeCell ref="B9:C9"/>
    <mergeCell ref="B10:C10"/>
    <mergeCell ref="B11:C11"/>
    <mergeCell ref="B12:C12"/>
    <mergeCell ref="B13:C13"/>
    <mergeCell ref="E13:I13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5"/>
  <sheetViews>
    <sheetView showWhiteSpace="0" view="pageBreakPreview" topLeftCell="C13" zoomScale="60" zoomScaleNormal="50" zoomScalePageLayoutView="40" workbookViewId="0">
      <selection activeCell="R16" sqref="R16"/>
    </sheetView>
  </sheetViews>
  <sheetFormatPr defaultRowHeight="23.25" x14ac:dyDescent="0.35"/>
  <cols>
    <col min="1" max="1" width="0.42578125" style="84" customWidth="1"/>
    <col min="2" max="2" width="22.28515625" style="84" customWidth="1"/>
    <col min="3" max="3" width="97.85546875" style="84" customWidth="1"/>
    <col min="4" max="4" width="6.28515625" style="85" customWidth="1"/>
    <col min="5" max="5" width="35.7109375" style="86" customWidth="1"/>
    <col min="6" max="9" width="35.7109375" style="85" customWidth="1"/>
    <col min="10" max="10" width="0.140625" style="85" hidden="1" customWidth="1"/>
    <col min="11" max="11" width="3.5703125" style="85" hidden="1" customWidth="1"/>
    <col min="12" max="12" width="1.140625" style="85" customWidth="1"/>
    <col min="13" max="14" width="0.28515625" style="85" customWidth="1"/>
    <col min="15" max="15" width="0.7109375" style="84" customWidth="1"/>
    <col min="16" max="16" width="2.42578125" style="84" customWidth="1"/>
    <col min="17" max="17" width="23.42578125" style="84" customWidth="1"/>
    <col min="18" max="18" width="17" style="84" customWidth="1"/>
    <col min="19" max="19" width="9.140625" style="84"/>
    <col min="20" max="20" width="17.5703125" style="84" customWidth="1"/>
    <col min="21" max="16384" width="9.140625" style="84"/>
  </cols>
  <sheetData>
    <row r="1" spans="2:19" ht="63.75" customHeight="1" x14ac:dyDescent="0.35">
      <c r="B1" s="217" t="s">
        <v>9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</row>
    <row r="2" spans="2:19" ht="6.75" customHeight="1" x14ac:dyDescent="0.35">
      <c r="O2" s="135"/>
      <c r="P2" s="133"/>
    </row>
    <row r="3" spans="2:19" ht="72.75" customHeight="1" x14ac:dyDescent="0.35">
      <c r="B3" s="219" t="s">
        <v>11</v>
      </c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</row>
    <row r="4" spans="2:19" s="89" customFormat="1" ht="112.5" customHeight="1" x14ac:dyDescent="0.35">
      <c r="B4" s="194" t="s">
        <v>59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</row>
    <row r="5" spans="2:19" ht="4.5" hidden="1" customHeight="1" x14ac:dyDescent="0.35">
      <c r="C5" s="132"/>
      <c r="D5" s="91"/>
      <c r="E5" s="92"/>
      <c r="F5" s="91"/>
      <c r="G5" s="91"/>
      <c r="H5" s="91"/>
      <c r="I5" s="91"/>
      <c r="J5" s="91"/>
      <c r="K5" s="91"/>
      <c r="L5" s="91"/>
      <c r="M5" s="91"/>
      <c r="N5" s="91"/>
      <c r="O5" s="93"/>
      <c r="P5" s="93"/>
    </row>
    <row r="6" spans="2:19" ht="38.25" customHeight="1" x14ac:dyDescent="0.35">
      <c r="B6" s="222" t="s">
        <v>12</v>
      </c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</row>
    <row r="7" spans="2:19" ht="9.75" customHeight="1" x14ac:dyDescent="0.35">
      <c r="C7" s="136"/>
      <c r="D7" s="136"/>
      <c r="E7" s="95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</row>
    <row r="8" spans="2:19" s="99" customFormat="1" ht="25.5" customHeight="1" x14ac:dyDescent="0.25">
      <c r="B8" s="215" t="s">
        <v>6</v>
      </c>
      <c r="C8" s="223"/>
      <c r="D8" s="96">
        <v>1</v>
      </c>
      <c r="E8" s="97">
        <v>1</v>
      </c>
      <c r="F8" s="96">
        <v>2</v>
      </c>
      <c r="G8" s="97">
        <v>3</v>
      </c>
      <c r="H8" s="96">
        <v>4</v>
      </c>
      <c r="I8" s="97">
        <v>5</v>
      </c>
      <c r="J8" s="98"/>
      <c r="K8" s="98"/>
      <c r="L8" s="98"/>
      <c r="M8" s="98"/>
      <c r="N8" s="98"/>
      <c r="O8" s="98"/>
      <c r="P8" s="91"/>
    </row>
    <row r="9" spans="2:19" ht="20.25" customHeight="1" x14ac:dyDescent="0.35">
      <c r="B9" s="215" t="s">
        <v>8</v>
      </c>
      <c r="C9" s="216"/>
      <c r="D9" s="100">
        <v>2</v>
      </c>
      <c r="E9" s="101"/>
      <c r="F9" s="100"/>
      <c r="G9" s="100"/>
      <c r="H9" s="100"/>
      <c r="I9" s="100"/>
      <c r="J9" s="102"/>
      <c r="K9" s="102"/>
      <c r="L9" s="102"/>
      <c r="M9" s="102"/>
      <c r="N9" s="102"/>
      <c r="O9" s="132"/>
      <c r="P9" s="132"/>
      <c r="Q9" s="89"/>
      <c r="R9" s="89"/>
      <c r="S9" s="89"/>
    </row>
    <row r="10" spans="2:19" ht="35.25" customHeight="1" x14ac:dyDescent="0.35">
      <c r="B10" s="215" t="s">
        <v>23</v>
      </c>
      <c r="C10" s="216"/>
      <c r="D10" s="96">
        <v>3</v>
      </c>
      <c r="E10" s="103" t="s">
        <v>22</v>
      </c>
      <c r="F10" s="96" t="s">
        <v>24</v>
      </c>
      <c r="G10" s="96" t="s">
        <v>25</v>
      </c>
      <c r="H10" s="104" t="s">
        <v>26</v>
      </c>
      <c r="I10" s="104" t="s">
        <v>34</v>
      </c>
      <c r="J10" s="98"/>
      <c r="K10" s="98"/>
      <c r="L10" s="98"/>
      <c r="M10" s="98"/>
      <c r="N10" s="98"/>
      <c r="O10" s="132"/>
      <c r="P10" s="132"/>
      <c r="Q10" s="89"/>
      <c r="R10" s="89"/>
      <c r="S10" s="89"/>
    </row>
    <row r="11" spans="2:19" ht="20.25" customHeight="1" x14ac:dyDescent="0.35">
      <c r="B11" s="215" t="s">
        <v>0</v>
      </c>
      <c r="C11" s="216"/>
      <c r="D11" s="100">
        <v>4</v>
      </c>
      <c r="E11" s="105">
        <v>23738.799999999999</v>
      </c>
      <c r="F11" s="105">
        <v>21487.1</v>
      </c>
      <c r="G11" s="105">
        <v>25499.9</v>
      </c>
      <c r="H11" s="105">
        <v>20412.8</v>
      </c>
      <c r="I11" s="105">
        <v>16460.2</v>
      </c>
      <c r="J11" s="98"/>
      <c r="K11" s="98"/>
      <c r="L11" s="98"/>
      <c r="M11" s="98"/>
      <c r="N11" s="98"/>
      <c r="O11" s="132"/>
      <c r="P11" s="132"/>
      <c r="Q11" s="106">
        <f>E11+F11+G11+H11+I11</f>
        <v>107598.79999999999</v>
      </c>
      <c r="R11" s="89"/>
      <c r="S11" s="89"/>
    </row>
    <row r="12" spans="2:19" ht="50.25" customHeight="1" x14ac:dyDescent="0.35">
      <c r="B12" s="215" t="s">
        <v>1</v>
      </c>
      <c r="C12" s="216"/>
      <c r="D12" s="96">
        <v>5</v>
      </c>
      <c r="E12" s="101" t="s">
        <v>27</v>
      </c>
      <c r="F12" s="101" t="s">
        <v>27</v>
      </c>
      <c r="G12" s="101" t="s">
        <v>27</v>
      </c>
      <c r="H12" s="101" t="s">
        <v>27</v>
      </c>
      <c r="I12" s="101" t="s">
        <v>27</v>
      </c>
      <c r="J12" s="102"/>
      <c r="K12" s="102"/>
      <c r="L12" s="102"/>
      <c r="M12" s="102"/>
      <c r="N12" s="102"/>
      <c r="O12" s="132"/>
      <c r="P12" s="132"/>
      <c r="Q12" s="89"/>
      <c r="R12" s="89"/>
      <c r="S12" s="89"/>
    </row>
    <row r="13" spans="2:19" ht="21" customHeight="1" x14ac:dyDescent="0.35">
      <c r="B13" s="215" t="s">
        <v>2</v>
      </c>
      <c r="C13" s="216"/>
      <c r="D13" s="100">
        <v>6</v>
      </c>
      <c r="E13" s="224" t="s">
        <v>28</v>
      </c>
      <c r="F13" s="225"/>
      <c r="G13" s="225"/>
      <c r="H13" s="225"/>
      <c r="I13" s="226"/>
      <c r="J13" s="98"/>
      <c r="K13" s="98"/>
      <c r="L13" s="98"/>
      <c r="M13" s="98"/>
      <c r="N13" s="98"/>
      <c r="O13" s="132"/>
      <c r="P13" s="132"/>
      <c r="Q13" s="89"/>
      <c r="R13" s="89"/>
      <c r="S13" s="89"/>
    </row>
    <row r="14" spans="2:19" ht="20.25" customHeight="1" x14ac:dyDescent="0.35">
      <c r="B14" s="215" t="s">
        <v>3</v>
      </c>
      <c r="C14" s="216"/>
      <c r="D14" s="96">
        <v>7</v>
      </c>
      <c r="E14" s="107" t="s">
        <v>29</v>
      </c>
      <c r="F14" s="107" t="s">
        <v>30</v>
      </c>
      <c r="G14" s="107" t="s">
        <v>31</v>
      </c>
      <c r="H14" s="107" t="s">
        <v>32</v>
      </c>
      <c r="I14" s="107" t="s">
        <v>33</v>
      </c>
      <c r="J14" s="98"/>
      <c r="K14" s="98"/>
      <c r="L14" s="98"/>
      <c r="M14" s="98"/>
      <c r="N14" s="98"/>
      <c r="O14" s="132"/>
      <c r="P14" s="132"/>
      <c r="Q14" s="89"/>
      <c r="R14" s="89"/>
      <c r="S14" s="89"/>
    </row>
    <row r="15" spans="2:19" ht="48.75" customHeight="1" x14ac:dyDescent="0.35">
      <c r="B15" s="228" t="s">
        <v>15</v>
      </c>
      <c r="C15" s="134" t="s">
        <v>35</v>
      </c>
      <c r="D15" s="100">
        <v>8</v>
      </c>
      <c r="E15" s="109">
        <f>E11*6.52/1000</f>
        <v>154.77697599999999</v>
      </c>
      <c r="F15" s="109">
        <f>F11*6.52/1000</f>
        <v>140.09589199999999</v>
      </c>
      <c r="G15" s="109">
        <f>G11*6.52/1000</f>
        <v>166.25934799999999</v>
      </c>
      <c r="H15" s="109">
        <f>H11*6.52/1000</f>
        <v>133.09145599999997</v>
      </c>
      <c r="I15" s="109">
        <f>I11*6.52/1000</f>
        <v>107.320504</v>
      </c>
      <c r="J15" s="102"/>
      <c r="K15" s="102"/>
      <c r="L15" s="102"/>
      <c r="M15" s="102"/>
      <c r="N15" s="102"/>
      <c r="O15" s="132"/>
      <c r="P15" s="132"/>
      <c r="Q15" s="110">
        <f>SUM(E15:I15)</f>
        <v>701.54417599999999</v>
      </c>
      <c r="R15" s="89"/>
      <c r="S15" s="89"/>
    </row>
    <row r="16" spans="2:19" ht="48.75" customHeight="1" x14ac:dyDescent="0.35">
      <c r="B16" s="229"/>
      <c r="C16" s="134" t="s">
        <v>36</v>
      </c>
      <c r="D16" s="96">
        <v>9</v>
      </c>
      <c r="E16" s="111">
        <f>E19-'ФЕВРАЛЬ 2019'!E19</f>
        <v>134.32000000000062</v>
      </c>
      <c r="F16" s="111">
        <f>F19-'ФЕВРАЛЬ 2019'!F19</f>
        <v>120.67000000000007</v>
      </c>
      <c r="G16" s="111">
        <f>G19-'ФЕВРАЛЬ 2019'!G19</f>
        <v>161.65999999999985</v>
      </c>
      <c r="H16" s="111">
        <f>H19-'ФЕВРАЛЬ 2019'!H19</f>
        <v>113.05000000000018</v>
      </c>
      <c r="I16" s="111">
        <f>I19-'ФЕВРАЛЬ 2019'!I19</f>
        <v>112.06999999999971</v>
      </c>
      <c r="J16" s="98"/>
      <c r="K16" s="98"/>
      <c r="L16" s="98"/>
      <c r="M16" s="98"/>
      <c r="N16" s="98"/>
      <c r="O16" s="132"/>
      <c r="P16" s="132"/>
      <c r="Q16" s="112">
        <f>SUM(E16:I16)</f>
        <v>641.77000000000044</v>
      </c>
      <c r="R16" s="154">
        <f>100*Q16/Q15</f>
        <v>91.479627649278697</v>
      </c>
      <c r="S16" s="89"/>
    </row>
    <row r="17" spans="2:20" ht="67.5" customHeight="1" x14ac:dyDescent="0.35">
      <c r="B17" s="230"/>
      <c r="C17" s="113" t="s">
        <v>53</v>
      </c>
      <c r="D17" s="100">
        <v>10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98"/>
      <c r="K17" s="98"/>
      <c r="L17" s="98"/>
      <c r="M17" s="98"/>
      <c r="N17" s="98"/>
      <c r="O17" s="132"/>
      <c r="P17" s="132"/>
      <c r="Q17" s="110">
        <f t="shared" ref="Q17:Q20" si="0">SUM(E17:I17)</f>
        <v>0</v>
      </c>
      <c r="R17" s="89"/>
      <c r="S17" s="89"/>
    </row>
    <row r="18" spans="2:20" ht="48.75" customHeight="1" x14ac:dyDescent="0.35">
      <c r="B18" s="231" t="s">
        <v>16</v>
      </c>
      <c r="C18" s="134" t="s">
        <v>35</v>
      </c>
      <c r="D18" s="96">
        <v>11</v>
      </c>
      <c r="E18" s="111">
        <f>(E11*(5.84*23+6.27*24+6.52*9))/1000</f>
        <v>8153.8030239999989</v>
      </c>
      <c r="F18" s="111">
        <f t="shared" ref="F18:I18" si="1">(F11*(5.84*23+6.27*24+6.52*9))/1000</f>
        <v>7380.3891079999994</v>
      </c>
      <c r="G18" s="111">
        <f t="shared" si="1"/>
        <v>8758.7056519999987</v>
      </c>
      <c r="H18" s="111">
        <f t="shared" si="1"/>
        <v>7011.3885439999985</v>
      </c>
      <c r="I18" s="111">
        <f t="shared" si="1"/>
        <v>5653.7494959999995</v>
      </c>
      <c r="J18" s="98"/>
      <c r="K18" s="98"/>
      <c r="L18" s="98"/>
      <c r="M18" s="98"/>
      <c r="N18" s="98"/>
      <c r="O18" s="132"/>
      <c r="P18" s="132"/>
      <c r="Q18" s="110">
        <f t="shared" si="0"/>
        <v>36958.035823999991</v>
      </c>
      <c r="R18" s="89"/>
      <c r="S18" s="89"/>
      <c r="T18" s="84" t="s">
        <v>45</v>
      </c>
    </row>
    <row r="19" spans="2:20" ht="48.75" customHeight="1" x14ac:dyDescent="0.35">
      <c r="B19" s="232"/>
      <c r="C19" s="134" t="s">
        <v>36</v>
      </c>
      <c r="D19" s="100">
        <v>12</v>
      </c>
      <c r="E19" s="114">
        <v>6580.47</v>
      </c>
      <c r="F19" s="114">
        <v>5617.89</v>
      </c>
      <c r="G19" s="114">
        <v>7113.99</v>
      </c>
      <c r="H19" s="114">
        <v>5521</v>
      </c>
      <c r="I19" s="114">
        <v>4529.95</v>
      </c>
      <c r="J19" s="102"/>
      <c r="K19" s="102"/>
      <c r="L19" s="102"/>
      <c r="M19" s="102"/>
      <c r="N19" s="102"/>
      <c r="O19" s="132"/>
      <c r="P19" s="132"/>
      <c r="Q19" s="110">
        <f t="shared" si="0"/>
        <v>29363.3</v>
      </c>
      <c r="R19" s="89"/>
      <c r="S19" s="89"/>
      <c r="T19" s="112">
        <f>Q19-'ФЕВРАЛЬ 2019'!Q19</f>
        <v>641.77000000000044</v>
      </c>
    </row>
    <row r="20" spans="2:20" ht="48.75" customHeight="1" x14ac:dyDescent="0.35">
      <c r="B20" s="232"/>
      <c r="C20" s="113" t="s">
        <v>53</v>
      </c>
      <c r="D20" s="96">
        <v>13</v>
      </c>
      <c r="E20" s="103">
        <v>0</v>
      </c>
      <c r="F20" s="103">
        <v>0</v>
      </c>
      <c r="G20" s="103">
        <v>0</v>
      </c>
      <c r="H20" s="103">
        <v>0</v>
      </c>
      <c r="I20" s="103">
        <v>0</v>
      </c>
      <c r="J20" s="98"/>
      <c r="K20" s="98"/>
      <c r="L20" s="98"/>
      <c r="M20" s="98"/>
      <c r="N20" s="98"/>
      <c r="O20" s="132"/>
      <c r="P20" s="132"/>
      <c r="Q20" s="110">
        <f t="shared" si="0"/>
        <v>0</v>
      </c>
      <c r="R20" s="89"/>
      <c r="S20" s="89"/>
    </row>
    <row r="21" spans="2:20" ht="41.25" customHeight="1" x14ac:dyDescent="0.35">
      <c r="B21" s="215" t="s">
        <v>17</v>
      </c>
      <c r="C21" s="223"/>
      <c r="D21" s="100">
        <v>14</v>
      </c>
      <c r="E21" s="115">
        <f>E19-E20</f>
        <v>6580.47</v>
      </c>
      <c r="F21" s="115">
        <f t="shared" ref="F21:I21" si="2">F19-F20</f>
        <v>5617.89</v>
      </c>
      <c r="G21" s="115">
        <f t="shared" si="2"/>
        <v>7113.99</v>
      </c>
      <c r="H21" s="115">
        <f t="shared" si="2"/>
        <v>5521</v>
      </c>
      <c r="I21" s="115">
        <f t="shared" si="2"/>
        <v>4529.95</v>
      </c>
      <c r="J21" s="98"/>
      <c r="K21" s="98"/>
      <c r="L21" s="98"/>
      <c r="M21" s="98"/>
      <c r="N21" s="98"/>
      <c r="O21" s="132"/>
      <c r="P21" s="132"/>
      <c r="Q21" s="110">
        <f>SUM(E21:I21)</f>
        <v>29363.3</v>
      </c>
      <c r="R21" s="89"/>
      <c r="S21" s="89"/>
    </row>
    <row r="22" spans="2:20" ht="43.5" customHeight="1" x14ac:dyDescent="0.35">
      <c r="B22" s="215" t="s">
        <v>4</v>
      </c>
      <c r="C22" s="216"/>
      <c r="D22" s="96">
        <v>15</v>
      </c>
      <c r="E22" s="116">
        <f>(1-E19/E18)*100</f>
        <v>19.295695755330755</v>
      </c>
      <c r="F22" s="116">
        <f t="shared" ref="F22:I22" si="3">(1-F19/F18)*100</f>
        <v>23.880842625079644</v>
      </c>
      <c r="G22" s="116">
        <f t="shared" si="3"/>
        <v>18.778067414840429</v>
      </c>
      <c r="H22" s="116">
        <f t="shared" si="3"/>
        <v>21.256681677916699</v>
      </c>
      <c r="I22" s="116">
        <f t="shared" si="3"/>
        <v>19.877065596823527</v>
      </c>
      <c r="J22" s="98"/>
      <c r="K22" s="98"/>
      <c r="L22" s="98"/>
      <c r="M22" s="98"/>
      <c r="N22" s="98"/>
      <c r="Q22" s="116">
        <f t="shared" ref="Q22" si="4">(1-Q19/Q18)*100</f>
        <v>20.549619736739601</v>
      </c>
      <c r="R22" s="142">
        <f>Q21/Q18</f>
        <v>0.79450380263260401</v>
      </c>
    </row>
    <row r="23" spans="2:20" ht="43.5" customHeight="1" x14ac:dyDescent="0.35">
      <c r="B23" s="215" t="s">
        <v>5</v>
      </c>
      <c r="C23" s="216"/>
      <c r="D23" s="100">
        <v>16</v>
      </c>
      <c r="E23" s="103" t="s">
        <v>20</v>
      </c>
      <c r="F23" s="103" t="s">
        <v>20</v>
      </c>
      <c r="G23" s="103" t="s">
        <v>20</v>
      </c>
      <c r="H23" s="103" t="s">
        <v>20</v>
      </c>
      <c r="I23" s="103" t="s">
        <v>20</v>
      </c>
      <c r="J23" s="98"/>
      <c r="K23" s="98"/>
      <c r="L23" s="98"/>
      <c r="M23" s="98"/>
      <c r="N23" s="98"/>
      <c r="R23" s="143">
        <f>100*R22+Q22</f>
        <v>100</v>
      </c>
    </row>
    <row r="24" spans="2:20" ht="240" customHeight="1" x14ac:dyDescent="0.35">
      <c r="B24" s="233" t="s">
        <v>40</v>
      </c>
      <c r="C24" s="234"/>
      <c r="D24" s="234"/>
      <c r="E24" s="234"/>
      <c r="F24" s="234"/>
      <c r="G24" s="235"/>
      <c r="H24" s="63" t="s">
        <v>58</v>
      </c>
    </row>
    <row r="25" spans="2:20" ht="84.75" customHeight="1" x14ac:dyDescent="0.35">
      <c r="B25" s="227" t="s">
        <v>47</v>
      </c>
      <c r="C25" s="218"/>
      <c r="D25" s="218"/>
      <c r="E25" s="218"/>
      <c r="F25" s="218"/>
      <c r="G25" s="218"/>
      <c r="H25" s="218"/>
      <c r="I25" s="218"/>
      <c r="J25" s="218"/>
      <c r="K25" s="218"/>
      <c r="L25" s="218"/>
      <c r="M25" s="218"/>
      <c r="N25" s="218"/>
      <c r="O25" s="218"/>
      <c r="P25" s="218"/>
      <c r="Q25" s="218"/>
    </row>
  </sheetData>
  <mergeCells count="19">
    <mergeCell ref="B25:Q25"/>
    <mergeCell ref="B15:B17"/>
    <mergeCell ref="B18:B20"/>
    <mergeCell ref="B21:C21"/>
    <mergeCell ref="B22:C22"/>
    <mergeCell ref="B23:C23"/>
    <mergeCell ref="B24:G24"/>
    <mergeCell ref="B14:C14"/>
    <mergeCell ref="B1:P1"/>
    <mergeCell ref="B3:P3"/>
    <mergeCell ref="B4:P4"/>
    <mergeCell ref="B6:P6"/>
    <mergeCell ref="B8:C8"/>
    <mergeCell ref="B9:C9"/>
    <mergeCell ref="B10:C10"/>
    <mergeCell ref="B11:C11"/>
    <mergeCell ref="B12:C12"/>
    <mergeCell ref="B13:C13"/>
    <mergeCell ref="E13:I13"/>
  </mergeCells>
  <pageMargins left="0.11811023622047245" right="0.11811023622047245" top="0.15748031496062992" bottom="0.15748031496062992" header="0.11811023622047245" footer="0.11811023622047245"/>
  <pageSetup paperSize="9" scale="44" orientation="landscape" r:id="rId1"/>
  <colBreaks count="1" manualBreakCount="1">
    <brk id="17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25"/>
  <sheetViews>
    <sheetView view="pageBreakPreview" topLeftCell="C10" zoomScale="60" zoomScaleNormal="70" workbookViewId="0">
      <selection activeCell="R16" sqref="R16"/>
    </sheetView>
  </sheetViews>
  <sheetFormatPr defaultRowHeight="23.25" x14ac:dyDescent="0.35"/>
  <cols>
    <col min="1" max="1" width="0.42578125" style="84" customWidth="1"/>
    <col min="2" max="2" width="22.28515625" style="84" customWidth="1"/>
    <col min="3" max="3" width="98.85546875" style="84" customWidth="1"/>
    <col min="4" max="4" width="6.28515625" style="85" customWidth="1"/>
    <col min="5" max="5" width="35.7109375" style="86" customWidth="1"/>
    <col min="6" max="9" width="35.7109375" style="85" customWidth="1"/>
    <col min="10" max="10" width="0.140625" style="85" hidden="1" customWidth="1"/>
    <col min="11" max="11" width="3.5703125" style="85" hidden="1" customWidth="1"/>
    <col min="12" max="12" width="1.140625" style="85" customWidth="1"/>
    <col min="13" max="14" width="0.28515625" style="85" customWidth="1"/>
    <col min="15" max="15" width="0.7109375" style="84" customWidth="1"/>
    <col min="16" max="16" width="2.42578125" style="84" customWidth="1"/>
    <col min="17" max="17" width="23.42578125" style="84" customWidth="1"/>
    <col min="18" max="18" width="17" style="84" customWidth="1"/>
    <col min="19" max="19" width="9.140625" style="84"/>
    <col min="20" max="20" width="17.5703125" style="84" customWidth="1"/>
    <col min="21" max="16384" width="9.140625" style="84"/>
  </cols>
  <sheetData>
    <row r="1" spans="2:19" ht="63.75" customHeight="1" x14ac:dyDescent="0.35">
      <c r="B1" s="217" t="s">
        <v>9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</row>
    <row r="2" spans="2:19" ht="6.75" customHeight="1" x14ac:dyDescent="0.35">
      <c r="O2" s="138"/>
      <c r="P2" s="139"/>
    </row>
    <row r="3" spans="2:19" ht="72.75" customHeight="1" x14ac:dyDescent="0.35">
      <c r="B3" s="219" t="s">
        <v>11</v>
      </c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</row>
    <row r="4" spans="2:19" s="89" customFormat="1" ht="112.5" customHeight="1" x14ac:dyDescent="0.35">
      <c r="B4" s="194" t="s">
        <v>65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</row>
    <row r="5" spans="2:19" ht="4.5" hidden="1" customHeight="1" x14ac:dyDescent="0.35">
      <c r="C5" s="141"/>
      <c r="D5" s="91"/>
      <c r="E5" s="92"/>
      <c r="F5" s="91"/>
      <c r="G5" s="91"/>
      <c r="H5" s="91"/>
      <c r="I5" s="91"/>
      <c r="J5" s="91"/>
      <c r="K5" s="91"/>
      <c r="L5" s="91"/>
      <c r="M5" s="91"/>
      <c r="N5" s="91"/>
      <c r="O5" s="93"/>
      <c r="P5" s="93"/>
    </row>
    <row r="6" spans="2:19" ht="38.25" customHeight="1" x14ac:dyDescent="0.35">
      <c r="B6" s="222" t="s">
        <v>12</v>
      </c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</row>
    <row r="7" spans="2:19" ht="9.75" customHeight="1" x14ac:dyDescent="0.35">
      <c r="C7" s="140"/>
      <c r="D7" s="140"/>
      <c r="E7" s="95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</row>
    <row r="8" spans="2:19" s="99" customFormat="1" ht="25.5" customHeight="1" x14ac:dyDescent="0.25">
      <c r="B8" s="215" t="s">
        <v>6</v>
      </c>
      <c r="C8" s="223"/>
      <c r="D8" s="96">
        <v>1</v>
      </c>
      <c r="E8" s="97">
        <v>1</v>
      </c>
      <c r="F8" s="96">
        <v>2</v>
      </c>
      <c r="G8" s="97">
        <v>3</v>
      </c>
      <c r="H8" s="96">
        <v>4</v>
      </c>
      <c r="I8" s="97">
        <v>5</v>
      </c>
      <c r="J8" s="98"/>
      <c r="K8" s="98"/>
      <c r="L8" s="98"/>
      <c r="M8" s="98"/>
      <c r="N8" s="98"/>
      <c r="O8" s="98"/>
      <c r="P8" s="91"/>
    </row>
    <row r="9" spans="2:19" ht="20.25" customHeight="1" x14ac:dyDescent="0.35">
      <c r="B9" s="215" t="s">
        <v>8</v>
      </c>
      <c r="C9" s="216"/>
      <c r="D9" s="100">
        <v>2</v>
      </c>
      <c r="E9" s="101"/>
      <c r="F9" s="100"/>
      <c r="G9" s="100"/>
      <c r="H9" s="100"/>
      <c r="I9" s="100"/>
      <c r="J9" s="102"/>
      <c r="K9" s="102"/>
      <c r="L9" s="102"/>
      <c r="M9" s="102"/>
      <c r="N9" s="102"/>
      <c r="O9" s="141"/>
      <c r="P9" s="141"/>
      <c r="Q9" s="89"/>
      <c r="R9" s="89"/>
      <c r="S9" s="89"/>
    </row>
    <row r="10" spans="2:19" ht="35.25" customHeight="1" x14ac:dyDescent="0.35">
      <c r="B10" s="215" t="s">
        <v>23</v>
      </c>
      <c r="C10" s="216"/>
      <c r="D10" s="96">
        <v>3</v>
      </c>
      <c r="E10" s="103" t="s">
        <v>22</v>
      </c>
      <c r="F10" s="96" t="s">
        <v>24</v>
      </c>
      <c r="G10" s="96" t="s">
        <v>25</v>
      </c>
      <c r="H10" s="104" t="s">
        <v>26</v>
      </c>
      <c r="I10" s="104" t="s">
        <v>34</v>
      </c>
      <c r="J10" s="98"/>
      <c r="K10" s="98"/>
      <c r="L10" s="98"/>
      <c r="M10" s="98"/>
      <c r="N10" s="98"/>
      <c r="O10" s="141"/>
      <c r="P10" s="141"/>
      <c r="Q10" s="89"/>
      <c r="R10" s="89"/>
      <c r="S10" s="89"/>
    </row>
    <row r="11" spans="2:19" ht="20.25" customHeight="1" x14ac:dyDescent="0.35">
      <c r="B11" s="215" t="s">
        <v>0</v>
      </c>
      <c r="C11" s="216"/>
      <c r="D11" s="100">
        <v>4</v>
      </c>
      <c r="E11" s="105">
        <v>23738.799999999999</v>
      </c>
      <c r="F11" s="105">
        <v>21487.1</v>
      </c>
      <c r="G11" s="105">
        <v>25499.9</v>
      </c>
      <c r="H11" s="105">
        <v>20412.8</v>
      </c>
      <c r="I11" s="105">
        <v>16460.2</v>
      </c>
      <c r="J11" s="98"/>
      <c r="K11" s="98"/>
      <c r="L11" s="98"/>
      <c r="M11" s="98"/>
      <c r="N11" s="98"/>
      <c r="O11" s="141"/>
      <c r="P11" s="141"/>
      <c r="Q11" s="106">
        <f>E11+F11+G11+H11+I11</f>
        <v>107598.79999999999</v>
      </c>
      <c r="R11" s="89"/>
      <c r="S11" s="89"/>
    </row>
    <row r="12" spans="2:19" ht="50.25" customHeight="1" x14ac:dyDescent="0.35">
      <c r="B12" s="215" t="s">
        <v>1</v>
      </c>
      <c r="C12" s="216"/>
      <c r="D12" s="96">
        <v>5</v>
      </c>
      <c r="E12" s="101" t="s">
        <v>27</v>
      </c>
      <c r="F12" s="101" t="s">
        <v>27</v>
      </c>
      <c r="G12" s="101" t="s">
        <v>27</v>
      </c>
      <c r="H12" s="101" t="s">
        <v>27</v>
      </c>
      <c r="I12" s="101" t="s">
        <v>27</v>
      </c>
      <c r="J12" s="102"/>
      <c r="K12" s="102"/>
      <c r="L12" s="102"/>
      <c r="M12" s="102"/>
      <c r="N12" s="102"/>
      <c r="O12" s="141"/>
      <c r="P12" s="141"/>
      <c r="Q12" s="89"/>
      <c r="R12" s="89"/>
      <c r="S12" s="89"/>
    </row>
    <row r="13" spans="2:19" ht="21" customHeight="1" x14ac:dyDescent="0.35">
      <c r="B13" s="215" t="s">
        <v>2</v>
      </c>
      <c r="C13" s="216"/>
      <c r="D13" s="100">
        <v>6</v>
      </c>
      <c r="E13" s="224" t="s">
        <v>28</v>
      </c>
      <c r="F13" s="225"/>
      <c r="G13" s="225"/>
      <c r="H13" s="225"/>
      <c r="I13" s="226"/>
      <c r="J13" s="98"/>
      <c r="K13" s="98"/>
      <c r="L13" s="98"/>
      <c r="M13" s="98"/>
      <c r="N13" s="98"/>
      <c r="O13" s="141"/>
      <c r="P13" s="141"/>
      <c r="Q13" s="89"/>
      <c r="R13" s="89"/>
      <c r="S13" s="89"/>
    </row>
    <row r="14" spans="2:19" ht="20.25" customHeight="1" x14ac:dyDescent="0.35">
      <c r="B14" s="215" t="s">
        <v>3</v>
      </c>
      <c r="C14" s="216"/>
      <c r="D14" s="96">
        <v>7</v>
      </c>
      <c r="E14" s="107" t="s">
        <v>29</v>
      </c>
      <c r="F14" s="107" t="s">
        <v>30</v>
      </c>
      <c r="G14" s="107" t="s">
        <v>31</v>
      </c>
      <c r="H14" s="107" t="s">
        <v>32</v>
      </c>
      <c r="I14" s="107" t="s">
        <v>33</v>
      </c>
      <c r="J14" s="98"/>
      <c r="K14" s="98"/>
      <c r="L14" s="98"/>
      <c r="M14" s="98"/>
      <c r="N14" s="98"/>
      <c r="O14" s="141"/>
      <c r="P14" s="141"/>
      <c r="Q14" s="89"/>
      <c r="R14" s="89"/>
      <c r="S14" s="89"/>
    </row>
    <row r="15" spans="2:19" ht="48.75" customHeight="1" x14ac:dyDescent="0.35">
      <c r="B15" s="228" t="s">
        <v>15</v>
      </c>
      <c r="C15" s="137" t="s">
        <v>35</v>
      </c>
      <c r="D15" s="100">
        <v>8</v>
      </c>
      <c r="E15" s="109">
        <f>E11*6.52/1000</f>
        <v>154.77697599999999</v>
      </c>
      <c r="F15" s="109">
        <f>F11*6.52/1000</f>
        <v>140.09589199999999</v>
      </c>
      <c r="G15" s="109">
        <f>G11*6.52/1000</f>
        <v>166.25934799999999</v>
      </c>
      <c r="H15" s="109">
        <f>H11*6.52/1000</f>
        <v>133.09145599999997</v>
      </c>
      <c r="I15" s="109">
        <f>I11*6.52/1000</f>
        <v>107.320504</v>
      </c>
      <c r="J15" s="102"/>
      <c r="K15" s="102"/>
      <c r="L15" s="102"/>
      <c r="M15" s="102"/>
      <c r="N15" s="102"/>
      <c r="O15" s="141"/>
      <c r="P15" s="141"/>
      <c r="Q15" s="110">
        <f>SUM(E15:I15)</f>
        <v>701.54417599999999</v>
      </c>
      <c r="R15" s="89"/>
      <c r="S15" s="89"/>
    </row>
    <row r="16" spans="2:19" ht="48.75" customHeight="1" x14ac:dyDescent="0.35">
      <c r="B16" s="229"/>
      <c r="C16" s="137" t="s">
        <v>36</v>
      </c>
      <c r="D16" s="96">
        <v>9</v>
      </c>
      <c r="E16" s="111">
        <f>E19-'МАРТ 2019'!E19</f>
        <v>144.86999999999989</v>
      </c>
      <c r="F16" s="111">
        <f>F19-'МАРТ 2019'!F19</f>
        <v>141.46999999999935</v>
      </c>
      <c r="G16" s="111">
        <f>G19-'МАРТ 2019'!G19</f>
        <v>152.89400000000023</v>
      </c>
      <c r="H16" s="111">
        <f>H19-'МАРТ 2019'!H19</f>
        <v>120.39999999999964</v>
      </c>
      <c r="I16" s="111">
        <f>I19-'МАРТ 2019'!I19</f>
        <v>94.726000000000568</v>
      </c>
      <c r="J16" s="98"/>
      <c r="K16" s="98"/>
      <c r="L16" s="98"/>
      <c r="M16" s="98"/>
      <c r="N16" s="98"/>
      <c r="O16" s="141"/>
      <c r="P16" s="141"/>
      <c r="Q16" s="112">
        <f>SUM(E16:I16)</f>
        <v>654.35999999999967</v>
      </c>
      <c r="R16" s="154">
        <f>100*Q16/Q15</f>
        <v>93.274240224039673</v>
      </c>
      <c r="S16" s="89"/>
    </row>
    <row r="17" spans="2:20" ht="67.5" customHeight="1" x14ac:dyDescent="0.35">
      <c r="B17" s="230"/>
      <c r="C17" s="113" t="s">
        <v>53</v>
      </c>
      <c r="D17" s="100">
        <v>10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98"/>
      <c r="K17" s="98"/>
      <c r="L17" s="98"/>
      <c r="M17" s="98"/>
      <c r="N17" s="98"/>
      <c r="O17" s="141"/>
      <c r="P17" s="141"/>
      <c r="Q17" s="110">
        <f t="shared" ref="Q17:Q20" si="0">SUM(E17:I17)</f>
        <v>0</v>
      </c>
      <c r="R17" s="89"/>
      <c r="S17" s="89"/>
    </row>
    <row r="18" spans="2:20" ht="48.75" customHeight="1" x14ac:dyDescent="0.35">
      <c r="B18" s="231" t="s">
        <v>16</v>
      </c>
      <c r="C18" s="137" t="s">
        <v>35</v>
      </c>
      <c r="D18" s="96">
        <v>11</v>
      </c>
      <c r="E18" s="111">
        <f>(E11*(5.84*23+6.27*24+6.52*10))/1000</f>
        <v>8308.5799999999981</v>
      </c>
      <c r="F18" s="111">
        <f t="shared" ref="F18:I18" si="1">(F11*(5.84*23+6.27*24+6.52*10))/1000</f>
        <v>7520.4849999999979</v>
      </c>
      <c r="G18" s="111">
        <f t="shared" si="1"/>
        <v>8924.9649999999983</v>
      </c>
      <c r="H18" s="111">
        <f t="shared" si="1"/>
        <v>7144.4799999999977</v>
      </c>
      <c r="I18" s="111">
        <f t="shared" si="1"/>
        <v>5761.0699999999988</v>
      </c>
      <c r="J18" s="98"/>
      <c r="K18" s="98"/>
      <c r="L18" s="98"/>
      <c r="M18" s="98"/>
      <c r="N18" s="98"/>
      <c r="O18" s="141"/>
      <c r="P18" s="141"/>
      <c r="Q18" s="110">
        <f t="shared" si="0"/>
        <v>37659.579999999987</v>
      </c>
      <c r="R18" s="89"/>
      <c r="S18" s="89"/>
      <c r="T18" s="84" t="s">
        <v>45</v>
      </c>
    </row>
    <row r="19" spans="2:20" ht="46.5" x14ac:dyDescent="0.35">
      <c r="B19" s="232"/>
      <c r="C19" s="137" t="s">
        <v>36</v>
      </c>
      <c r="D19" s="100">
        <v>12</v>
      </c>
      <c r="E19" s="114">
        <v>6725.34</v>
      </c>
      <c r="F19" s="114">
        <v>5759.36</v>
      </c>
      <c r="G19" s="114">
        <v>7266.884</v>
      </c>
      <c r="H19" s="114">
        <v>5641.4</v>
      </c>
      <c r="I19" s="114">
        <v>4624.6760000000004</v>
      </c>
      <c r="J19" s="102"/>
      <c r="K19" s="102"/>
      <c r="L19" s="102"/>
      <c r="M19" s="102"/>
      <c r="N19" s="102"/>
      <c r="O19" s="141"/>
      <c r="P19" s="141"/>
      <c r="Q19" s="110">
        <f t="shared" si="0"/>
        <v>30017.660000000003</v>
      </c>
      <c r="R19" s="89"/>
      <c r="S19" s="89"/>
      <c r="T19" s="112">
        <f>Q19-'МАРТ 2019'!Q19</f>
        <v>654.36000000000422</v>
      </c>
    </row>
    <row r="20" spans="2:20" ht="52.5" customHeight="1" x14ac:dyDescent="0.35">
      <c r="B20" s="232"/>
      <c r="C20" s="113" t="s">
        <v>63</v>
      </c>
      <c r="D20" s="96">
        <v>13</v>
      </c>
      <c r="E20" s="103">
        <v>0</v>
      </c>
      <c r="F20" s="103">
        <v>0</v>
      </c>
      <c r="G20" s="103">
        <v>0</v>
      </c>
      <c r="H20" s="103">
        <v>0</v>
      </c>
      <c r="I20" s="103">
        <v>0</v>
      </c>
      <c r="J20" s="98"/>
      <c r="K20" s="98"/>
      <c r="L20" s="98"/>
      <c r="M20" s="98"/>
      <c r="N20" s="98"/>
      <c r="O20" s="141"/>
      <c r="P20" s="141"/>
      <c r="Q20" s="110">
        <f t="shared" si="0"/>
        <v>0</v>
      </c>
      <c r="R20" s="89"/>
      <c r="S20" s="89"/>
    </row>
    <row r="21" spans="2:20" ht="41.25" customHeight="1" x14ac:dyDescent="0.35">
      <c r="B21" s="215" t="s">
        <v>17</v>
      </c>
      <c r="C21" s="223"/>
      <c r="D21" s="100">
        <v>14</v>
      </c>
      <c r="E21" s="115">
        <f>E19-E20</f>
        <v>6725.34</v>
      </c>
      <c r="F21" s="115">
        <f t="shared" ref="F21:I21" si="2">F19-F20</f>
        <v>5759.36</v>
      </c>
      <c r="G21" s="115">
        <f t="shared" si="2"/>
        <v>7266.884</v>
      </c>
      <c r="H21" s="115">
        <f t="shared" si="2"/>
        <v>5641.4</v>
      </c>
      <c r="I21" s="115">
        <f t="shared" si="2"/>
        <v>4624.6760000000004</v>
      </c>
      <c r="J21" s="98"/>
      <c r="K21" s="98"/>
      <c r="L21" s="98"/>
      <c r="M21" s="98"/>
      <c r="N21" s="98"/>
      <c r="O21" s="141"/>
      <c r="P21" s="141"/>
      <c r="Q21" s="110">
        <f>SUM(E21:I21)</f>
        <v>30017.660000000003</v>
      </c>
      <c r="R21" s="89"/>
      <c r="S21" s="89"/>
    </row>
    <row r="22" spans="2:20" ht="43.5" customHeight="1" x14ac:dyDescent="0.35">
      <c r="B22" s="215" t="s">
        <v>4</v>
      </c>
      <c r="C22" s="216"/>
      <c r="D22" s="96">
        <v>15</v>
      </c>
      <c r="E22" s="116">
        <f>(1-E19/E18)*100</f>
        <v>19.055482404935596</v>
      </c>
      <c r="F22" s="116">
        <f t="shared" ref="F22:I22" si="3">(1-F19/F18)*100</f>
        <v>23.417705108114685</v>
      </c>
      <c r="G22" s="116">
        <f t="shared" si="3"/>
        <v>18.57801123029612</v>
      </c>
      <c r="H22" s="116">
        <f t="shared" si="3"/>
        <v>21.038340089131722</v>
      </c>
      <c r="I22" s="116">
        <f t="shared" si="3"/>
        <v>19.725398233314273</v>
      </c>
      <c r="J22" s="98"/>
      <c r="K22" s="98"/>
      <c r="L22" s="98"/>
      <c r="M22" s="98"/>
      <c r="N22" s="98"/>
      <c r="Q22" s="116">
        <f>(1-Q19/Q18)*100</f>
        <v>20.292100974041627</v>
      </c>
      <c r="R22" s="142">
        <f>Q21/Q18</f>
        <v>0.79707899025958373</v>
      </c>
    </row>
    <row r="23" spans="2:20" ht="43.5" customHeight="1" x14ac:dyDescent="0.35">
      <c r="B23" s="215" t="s">
        <v>5</v>
      </c>
      <c r="C23" s="216"/>
      <c r="D23" s="100">
        <v>16</v>
      </c>
      <c r="E23" s="103" t="s">
        <v>20</v>
      </c>
      <c r="F23" s="103" t="s">
        <v>20</v>
      </c>
      <c r="G23" s="103" t="s">
        <v>20</v>
      </c>
      <c r="H23" s="103" t="s">
        <v>20</v>
      </c>
      <c r="I23" s="103" t="s">
        <v>20</v>
      </c>
      <c r="J23" s="98"/>
      <c r="K23" s="98"/>
      <c r="L23" s="98"/>
      <c r="M23" s="98"/>
      <c r="N23" s="98"/>
      <c r="R23" s="143">
        <f>100*R22+Q22</f>
        <v>100</v>
      </c>
    </row>
    <row r="24" spans="2:20" ht="240" customHeight="1" x14ac:dyDescent="0.35">
      <c r="B24" s="233" t="s">
        <v>40</v>
      </c>
      <c r="C24" s="234"/>
      <c r="D24" s="234"/>
      <c r="E24" s="234"/>
      <c r="F24" s="234"/>
      <c r="G24" s="235"/>
      <c r="H24" s="63" t="s">
        <v>64</v>
      </c>
    </row>
    <row r="25" spans="2:20" ht="84.75" customHeight="1" x14ac:dyDescent="0.35">
      <c r="B25" s="227" t="s">
        <v>47</v>
      </c>
      <c r="C25" s="218"/>
      <c r="D25" s="218"/>
      <c r="E25" s="218"/>
      <c r="F25" s="218"/>
      <c r="G25" s="218"/>
      <c r="H25" s="218"/>
      <c r="I25" s="218"/>
      <c r="J25" s="218"/>
      <c r="K25" s="218"/>
      <c r="L25" s="218"/>
      <c r="M25" s="218"/>
      <c r="N25" s="218"/>
      <c r="O25" s="218"/>
      <c r="P25" s="218"/>
      <c r="Q25" s="218"/>
    </row>
  </sheetData>
  <mergeCells count="19">
    <mergeCell ref="B14:C14"/>
    <mergeCell ref="B1:P1"/>
    <mergeCell ref="B3:P3"/>
    <mergeCell ref="B4:P4"/>
    <mergeCell ref="B6:P6"/>
    <mergeCell ref="B8:C8"/>
    <mergeCell ref="B9:C9"/>
    <mergeCell ref="B10:C10"/>
    <mergeCell ref="B11:C11"/>
    <mergeCell ref="B12:C12"/>
    <mergeCell ref="B13:C13"/>
    <mergeCell ref="E13:I13"/>
    <mergeCell ref="B25:Q25"/>
    <mergeCell ref="B15:B17"/>
    <mergeCell ref="B18:B20"/>
    <mergeCell ref="B21:C21"/>
    <mergeCell ref="B22:C22"/>
    <mergeCell ref="B23:C23"/>
    <mergeCell ref="B24:G24"/>
  </mergeCells>
  <pageMargins left="0.11811023622047245" right="0.11811023622047245" top="0.35433070866141736" bottom="0.15748031496062992" header="0.31496062992125984" footer="0.31496062992125984"/>
  <pageSetup paperSize="9" scale="43" orientation="landscape" r:id="rId1"/>
  <colBreaks count="1" manualBreakCount="1">
    <brk id="17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25"/>
  <sheetViews>
    <sheetView view="pageBreakPreview" topLeftCell="A13" zoomScale="60" zoomScaleNormal="90" workbookViewId="0">
      <selection activeCell="B24" sqref="B24:G24"/>
    </sheetView>
  </sheetViews>
  <sheetFormatPr defaultRowHeight="23.25" x14ac:dyDescent="0.35"/>
  <cols>
    <col min="1" max="1" width="0.42578125" style="84" customWidth="1"/>
    <col min="2" max="2" width="22.28515625" style="84" customWidth="1"/>
    <col min="3" max="3" width="101" style="84" customWidth="1"/>
    <col min="4" max="4" width="6.28515625" style="85" customWidth="1"/>
    <col min="5" max="5" width="37.140625" style="86" customWidth="1"/>
    <col min="6" max="9" width="37.140625" style="85" customWidth="1"/>
    <col min="10" max="10" width="0.140625" style="85" hidden="1" customWidth="1"/>
    <col min="11" max="11" width="3.5703125" style="85" hidden="1" customWidth="1"/>
    <col min="12" max="12" width="1.140625" style="85" customWidth="1"/>
    <col min="13" max="14" width="0.28515625" style="85" customWidth="1"/>
    <col min="15" max="15" width="0.7109375" style="84" customWidth="1"/>
    <col min="16" max="16" width="2.42578125" style="84" customWidth="1"/>
    <col min="17" max="17" width="23.42578125" style="84" customWidth="1"/>
    <col min="18" max="18" width="17" style="84" customWidth="1"/>
    <col min="19" max="19" width="9.140625" style="84"/>
    <col min="20" max="20" width="17.5703125" style="84" customWidth="1"/>
    <col min="21" max="16384" width="9.140625" style="84"/>
  </cols>
  <sheetData>
    <row r="1" spans="2:19" ht="63.75" customHeight="1" x14ac:dyDescent="0.35">
      <c r="B1" s="217" t="s">
        <v>9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</row>
    <row r="2" spans="2:19" ht="6.75" customHeight="1" x14ac:dyDescent="0.35">
      <c r="O2" s="147"/>
      <c r="P2" s="145"/>
    </row>
    <row r="3" spans="2:19" ht="72.75" customHeight="1" x14ac:dyDescent="0.35">
      <c r="B3" s="219" t="s">
        <v>11</v>
      </c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</row>
    <row r="4" spans="2:19" s="89" customFormat="1" ht="112.5" customHeight="1" x14ac:dyDescent="0.35">
      <c r="B4" s="194" t="s">
        <v>66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</row>
    <row r="5" spans="2:19" ht="4.5" hidden="1" customHeight="1" x14ac:dyDescent="0.35">
      <c r="C5" s="144"/>
      <c r="D5" s="91"/>
      <c r="E5" s="92"/>
      <c r="F5" s="91"/>
      <c r="G5" s="91"/>
      <c r="H5" s="91"/>
      <c r="I5" s="91"/>
      <c r="J5" s="91"/>
      <c r="K5" s="91"/>
      <c r="L5" s="91"/>
      <c r="M5" s="91"/>
      <c r="N5" s="91"/>
      <c r="O5" s="93"/>
      <c r="P5" s="93"/>
    </row>
    <row r="6" spans="2:19" ht="38.25" customHeight="1" x14ac:dyDescent="0.35">
      <c r="B6" s="222" t="s">
        <v>12</v>
      </c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</row>
    <row r="7" spans="2:19" ht="9.75" customHeight="1" x14ac:dyDescent="0.35">
      <c r="C7" s="148"/>
      <c r="D7" s="148"/>
      <c r="E7" s="95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</row>
    <row r="8" spans="2:19" s="99" customFormat="1" ht="25.5" customHeight="1" x14ac:dyDescent="0.25">
      <c r="B8" s="215" t="s">
        <v>6</v>
      </c>
      <c r="C8" s="223"/>
      <c r="D8" s="96">
        <v>1</v>
      </c>
      <c r="E8" s="97">
        <v>1</v>
      </c>
      <c r="F8" s="96">
        <v>2</v>
      </c>
      <c r="G8" s="97">
        <v>3</v>
      </c>
      <c r="H8" s="96">
        <v>4</v>
      </c>
      <c r="I8" s="97">
        <v>5</v>
      </c>
      <c r="J8" s="98"/>
      <c r="K8" s="98"/>
      <c r="L8" s="98"/>
      <c r="M8" s="98"/>
      <c r="N8" s="98"/>
      <c r="O8" s="98"/>
      <c r="P8" s="91"/>
    </row>
    <row r="9" spans="2:19" ht="20.25" customHeight="1" x14ac:dyDescent="0.35">
      <c r="B9" s="215" t="s">
        <v>8</v>
      </c>
      <c r="C9" s="216"/>
      <c r="D9" s="100">
        <v>2</v>
      </c>
      <c r="E9" s="101"/>
      <c r="F9" s="100"/>
      <c r="G9" s="100"/>
      <c r="H9" s="100"/>
      <c r="I9" s="100"/>
      <c r="J9" s="102"/>
      <c r="K9" s="102"/>
      <c r="L9" s="102"/>
      <c r="M9" s="102"/>
      <c r="N9" s="102"/>
      <c r="O9" s="144"/>
      <c r="P9" s="144"/>
      <c r="Q9" s="89"/>
      <c r="R9" s="89"/>
      <c r="S9" s="89"/>
    </row>
    <row r="10" spans="2:19" ht="35.25" customHeight="1" x14ac:dyDescent="0.35">
      <c r="B10" s="215" t="s">
        <v>23</v>
      </c>
      <c r="C10" s="216"/>
      <c r="D10" s="96">
        <v>3</v>
      </c>
      <c r="E10" s="103" t="s">
        <v>22</v>
      </c>
      <c r="F10" s="96" t="s">
        <v>24</v>
      </c>
      <c r="G10" s="96" t="s">
        <v>25</v>
      </c>
      <c r="H10" s="104" t="s">
        <v>26</v>
      </c>
      <c r="I10" s="104" t="s">
        <v>34</v>
      </c>
      <c r="J10" s="98"/>
      <c r="K10" s="98"/>
      <c r="L10" s="98"/>
      <c r="M10" s="98"/>
      <c r="N10" s="98"/>
      <c r="O10" s="144"/>
      <c r="P10" s="144"/>
      <c r="Q10" s="89"/>
      <c r="R10" s="89"/>
      <c r="S10" s="89"/>
    </row>
    <row r="11" spans="2:19" ht="20.25" customHeight="1" x14ac:dyDescent="0.35">
      <c r="B11" s="215" t="s">
        <v>0</v>
      </c>
      <c r="C11" s="216"/>
      <c r="D11" s="100">
        <v>4</v>
      </c>
      <c r="E11" s="105">
        <v>23738.799999999999</v>
      </c>
      <c r="F11" s="105">
        <v>21487.1</v>
      </c>
      <c r="G11" s="105">
        <v>25499.9</v>
      </c>
      <c r="H11" s="105">
        <v>20412.8</v>
      </c>
      <c r="I11" s="105">
        <v>16460.2</v>
      </c>
      <c r="J11" s="98"/>
      <c r="K11" s="98"/>
      <c r="L11" s="98"/>
      <c r="M11" s="98"/>
      <c r="N11" s="98"/>
      <c r="O11" s="144"/>
      <c r="P11" s="144"/>
      <c r="Q11" s="106">
        <f>E11+F11+G11+H11+I11</f>
        <v>107598.79999999999</v>
      </c>
      <c r="R11" s="89"/>
      <c r="S11" s="89"/>
    </row>
    <row r="12" spans="2:19" ht="50.25" customHeight="1" x14ac:dyDescent="0.35">
      <c r="B12" s="215" t="s">
        <v>1</v>
      </c>
      <c r="C12" s="216"/>
      <c r="D12" s="96">
        <v>5</v>
      </c>
      <c r="E12" s="101" t="s">
        <v>27</v>
      </c>
      <c r="F12" s="101" t="s">
        <v>27</v>
      </c>
      <c r="G12" s="101" t="s">
        <v>27</v>
      </c>
      <c r="H12" s="101" t="s">
        <v>27</v>
      </c>
      <c r="I12" s="101" t="s">
        <v>27</v>
      </c>
      <c r="J12" s="102"/>
      <c r="K12" s="102"/>
      <c r="L12" s="102"/>
      <c r="M12" s="102"/>
      <c r="N12" s="102"/>
      <c r="O12" s="144"/>
      <c r="P12" s="144"/>
      <c r="Q12" s="89"/>
      <c r="R12" s="89"/>
      <c r="S12" s="89"/>
    </row>
    <row r="13" spans="2:19" ht="21" customHeight="1" x14ac:dyDescent="0.35">
      <c r="B13" s="215" t="s">
        <v>2</v>
      </c>
      <c r="C13" s="216"/>
      <c r="D13" s="100">
        <v>6</v>
      </c>
      <c r="E13" s="224" t="s">
        <v>28</v>
      </c>
      <c r="F13" s="225"/>
      <c r="G13" s="225"/>
      <c r="H13" s="225"/>
      <c r="I13" s="226"/>
      <c r="J13" s="98"/>
      <c r="K13" s="98"/>
      <c r="L13" s="98"/>
      <c r="M13" s="98"/>
      <c r="N13" s="98"/>
      <c r="O13" s="144"/>
      <c r="P13" s="144"/>
      <c r="Q13" s="89"/>
      <c r="R13" s="89"/>
      <c r="S13" s="89"/>
    </row>
    <row r="14" spans="2:19" ht="20.25" customHeight="1" x14ac:dyDescent="0.35">
      <c r="B14" s="215" t="s">
        <v>3</v>
      </c>
      <c r="C14" s="216"/>
      <c r="D14" s="96">
        <v>7</v>
      </c>
      <c r="E14" s="107" t="s">
        <v>29</v>
      </c>
      <c r="F14" s="107" t="s">
        <v>30</v>
      </c>
      <c r="G14" s="107" t="s">
        <v>31</v>
      </c>
      <c r="H14" s="107" t="s">
        <v>32</v>
      </c>
      <c r="I14" s="107" t="s">
        <v>33</v>
      </c>
      <c r="J14" s="98"/>
      <c r="K14" s="98"/>
      <c r="L14" s="98"/>
      <c r="M14" s="98"/>
      <c r="N14" s="98"/>
      <c r="O14" s="144"/>
      <c r="P14" s="144"/>
      <c r="Q14" s="89"/>
      <c r="R14" s="89"/>
      <c r="S14" s="89"/>
    </row>
    <row r="15" spans="2:19" ht="48.75" customHeight="1" x14ac:dyDescent="0.35">
      <c r="B15" s="228" t="s">
        <v>15</v>
      </c>
      <c r="C15" s="146" t="s">
        <v>35</v>
      </c>
      <c r="D15" s="100">
        <v>8</v>
      </c>
      <c r="E15" s="109">
        <f>E11*6.52/1000</f>
        <v>154.77697599999999</v>
      </c>
      <c r="F15" s="109">
        <f>F11*6.52/1000</f>
        <v>140.09589199999999</v>
      </c>
      <c r="G15" s="109">
        <f>G11*6.52/1000</f>
        <v>166.25934799999999</v>
      </c>
      <c r="H15" s="109">
        <f>H11*6.52/1000</f>
        <v>133.09145599999997</v>
      </c>
      <c r="I15" s="109">
        <f>I11*6.52/1000</f>
        <v>107.320504</v>
      </c>
      <c r="J15" s="102"/>
      <c r="K15" s="102"/>
      <c r="L15" s="102"/>
      <c r="M15" s="102"/>
      <c r="N15" s="102"/>
      <c r="O15" s="144"/>
      <c r="P15" s="144"/>
      <c r="Q15" s="110">
        <f>SUM(E15:I15)</f>
        <v>701.54417599999999</v>
      </c>
      <c r="R15" s="89"/>
      <c r="S15" s="89"/>
    </row>
    <row r="16" spans="2:19" ht="48.75" customHeight="1" x14ac:dyDescent="0.35">
      <c r="B16" s="229"/>
      <c r="C16" s="146" t="s">
        <v>36</v>
      </c>
      <c r="D16" s="96">
        <v>9</v>
      </c>
      <c r="E16" s="111">
        <f>E19-'АПР 2019'!E19</f>
        <v>145.65499999999975</v>
      </c>
      <c r="F16" s="111">
        <f>F19-'АПР 2019'!F19</f>
        <v>128.03000000000065</v>
      </c>
      <c r="G16" s="111">
        <f>G19-'АПР 2019'!G19</f>
        <v>153.11700000000019</v>
      </c>
      <c r="H16" s="111">
        <f>H19-'АПР 2019'!H19</f>
        <v>125.98600000000079</v>
      </c>
      <c r="I16" s="111">
        <f>I19-'АПР 2019'!I19</f>
        <v>112.40299999999934</v>
      </c>
      <c r="J16" s="98"/>
      <c r="K16" s="98"/>
      <c r="L16" s="98"/>
      <c r="M16" s="98"/>
      <c r="N16" s="98"/>
      <c r="O16" s="144"/>
      <c r="P16" s="144"/>
      <c r="Q16" s="112">
        <f>SUM(E16:I16)</f>
        <v>665.19100000000071</v>
      </c>
      <c r="R16" s="154">
        <f>100*Q16/Q15</f>
        <v>94.818120192049122</v>
      </c>
      <c r="S16" s="89"/>
    </row>
    <row r="17" spans="2:20" ht="67.5" customHeight="1" x14ac:dyDescent="0.35">
      <c r="B17" s="230"/>
      <c r="C17" s="113" t="s">
        <v>53</v>
      </c>
      <c r="D17" s="100">
        <v>10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98"/>
      <c r="K17" s="98"/>
      <c r="L17" s="98"/>
      <c r="M17" s="98"/>
      <c r="N17" s="98"/>
      <c r="O17" s="144"/>
      <c r="P17" s="144"/>
      <c r="Q17" s="110">
        <f t="shared" ref="Q17:Q20" si="0">SUM(E17:I17)</f>
        <v>0</v>
      </c>
      <c r="R17" s="89"/>
      <c r="S17" s="89"/>
    </row>
    <row r="18" spans="2:20" ht="48.75" customHeight="1" x14ac:dyDescent="0.35">
      <c r="B18" s="231" t="s">
        <v>16</v>
      </c>
      <c r="C18" s="146" t="s">
        <v>35</v>
      </c>
      <c r="D18" s="96">
        <v>11</v>
      </c>
      <c r="E18" s="111">
        <f>(E11*(5.84*23+6.27*24+6.52*11))/1000</f>
        <v>8463.3569759999991</v>
      </c>
      <c r="F18" s="111">
        <f>(F11*(5.84*23+6.27*24+6.52*11))/1000</f>
        <v>7660.580891999999</v>
      </c>
      <c r="G18" s="111">
        <f t="shared" ref="G18:I18" si="1">(G11*(5.84*23+6.27*24+6.52*11))/1000</f>
        <v>9091.2243479999997</v>
      </c>
      <c r="H18" s="111">
        <f t="shared" si="1"/>
        <v>7277.5714559999997</v>
      </c>
      <c r="I18" s="111">
        <f t="shared" si="1"/>
        <v>5868.390504</v>
      </c>
      <c r="J18" s="98"/>
      <c r="K18" s="98"/>
      <c r="L18" s="98"/>
      <c r="M18" s="98"/>
      <c r="N18" s="98"/>
      <c r="O18" s="144"/>
      <c r="P18" s="144"/>
      <c r="Q18" s="110">
        <f t="shared" si="0"/>
        <v>38361.124175999998</v>
      </c>
      <c r="R18" s="89"/>
      <c r="S18" s="89"/>
      <c r="T18" s="84" t="s">
        <v>45</v>
      </c>
    </row>
    <row r="19" spans="2:20" ht="46.5" x14ac:dyDescent="0.35">
      <c r="B19" s="232"/>
      <c r="C19" s="146" t="s">
        <v>36</v>
      </c>
      <c r="D19" s="100">
        <v>12</v>
      </c>
      <c r="E19" s="114">
        <v>6870.9949999999999</v>
      </c>
      <c r="F19" s="114">
        <v>5887.39</v>
      </c>
      <c r="G19" s="114">
        <v>7420.0010000000002</v>
      </c>
      <c r="H19" s="114">
        <v>5767.3860000000004</v>
      </c>
      <c r="I19" s="114">
        <v>4737.0789999999997</v>
      </c>
      <c r="J19" s="102"/>
      <c r="K19" s="102"/>
      <c r="L19" s="102"/>
      <c r="M19" s="102"/>
      <c r="N19" s="102"/>
      <c r="O19" s="144"/>
      <c r="P19" s="144"/>
      <c r="Q19" s="110">
        <f t="shared" si="0"/>
        <v>30682.850999999995</v>
      </c>
      <c r="R19" s="89"/>
      <c r="S19" s="89"/>
      <c r="T19" s="112">
        <f>Q19-'МАРТ 2019'!Q19</f>
        <v>1319.5509999999958</v>
      </c>
    </row>
    <row r="20" spans="2:20" ht="52.5" customHeight="1" x14ac:dyDescent="0.35">
      <c r="B20" s="232"/>
      <c r="C20" s="113" t="s">
        <v>63</v>
      </c>
      <c r="D20" s="96">
        <v>13</v>
      </c>
      <c r="E20" s="103">
        <v>0</v>
      </c>
      <c r="F20" s="103">
        <v>0</v>
      </c>
      <c r="G20" s="103">
        <v>0</v>
      </c>
      <c r="H20" s="103">
        <v>0</v>
      </c>
      <c r="I20" s="103">
        <v>0</v>
      </c>
      <c r="J20" s="98"/>
      <c r="K20" s="98"/>
      <c r="L20" s="98"/>
      <c r="M20" s="98"/>
      <c r="N20" s="98"/>
      <c r="O20" s="144"/>
      <c r="P20" s="144"/>
      <c r="Q20" s="110">
        <f t="shared" si="0"/>
        <v>0</v>
      </c>
      <c r="R20" s="89"/>
      <c r="S20" s="89"/>
    </row>
    <row r="21" spans="2:20" ht="41.25" customHeight="1" x14ac:dyDescent="0.35">
      <c r="B21" s="215" t="s">
        <v>17</v>
      </c>
      <c r="C21" s="223"/>
      <c r="D21" s="100">
        <v>14</v>
      </c>
      <c r="E21" s="115">
        <f>E19-E20</f>
        <v>6870.9949999999999</v>
      </c>
      <c r="F21" s="115">
        <f t="shared" ref="F21:I21" si="2">F19-F20</f>
        <v>5887.39</v>
      </c>
      <c r="G21" s="115">
        <f t="shared" si="2"/>
        <v>7420.0010000000002</v>
      </c>
      <c r="H21" s="115">
        <f t="shared" si="2"/>
        <v>5767.3860000000004</v>
      </c>
      <c r="I21" s="115">
        <f t="shared" si="2"/>
        <v>4737.0789999999997</v>
      </c>
      <c r="J21" s="98"/>
      <c r="K21" s="98"/>
      <c r="L21" s="98"/>
      <c r="M21" s="98"/>
      <c r="N21" s="98"/>
      <c r="O21" s="144"/>
      <c r="P21" s="144"/>
      <c r="Q21" s="110">
        <f>SUM(E21:I21)</f>
        <v>30682.850999999995</v>
      </c>
      <c r="R21" s="89"/>
      <c r="S21" s="89"/>
    </row>
    <row r="22" spans="2:20" ht="43.5" customHeight="1" x14ac:dyDescent="0.35">
      <c r="B22" s="215" t="s">
        <v>4</v>
      </c>
      <c r="C22" s="216"/>
      <c r="D22" s="96">
        <v>15</v>
      </c>
      <c r="E22" s="116">
        <f>(1-E19/E18)*100</f>
        <v>18.814779767833812</v>
      </c>
      <c r="F22" s="116">
        <f t="shared" ref="F22:I22" si="3">(1-F19/F18)*100</f>
        <v>23.146950825253409</v>
      </c>
      <c r="G22" s="116">
        <f t="shared" si="3"/>
        <v>18.382819343443614</v>
      </c>
      <c r="H22" s="116">
        <f t="shared" si="3"/>
        <v>20.751228141565349</v>
      </c>
      <c r="I22" s="116">
        <f t="shared" si="3"/>
        <v>19.278054233590591</v>
      </c>
      <c r="J22" s="98"/>
      <c r="K22" s="98"/>
      <c r="L22" s="98"/>
      <c r="M22" s="98"/>
      <c r="N22" s="98"/>
      <c r="Q22" s="116">
        <f>(1-Q19/Q18)*100</f>
        <v>20.015766849720706</v>
      </c>
      <c r="R22" s="142">
        <f>Q21/Q18</f>
        <v>0.79984233150279294</v>
      </c>
    </row>
    <row r="23" spans="2:20" ht="43.5" customHeight="1" x14ac:dyDescent="0.35">
      <c r="B23" s="215" t="s">
        <v>5</v>
      </c>
      <c r="C23" s="216"/>
      <c r="D23" s="100">
        <v>16</v>
      </c>
      <c r="E23" s="103" t="s">
        <v>20</v>
      </c>
      <c r="F23" s="103" t="s">
        <v>20</v>
      </c>
      <c r="G23" s="103" t="s">
        <v>20</v>
      </c>
      <c r="H23" s="103" t="s">
        <v>20</v>
      </c>
      <c r="I23" s="103" t="s">
        <v>20</v>
      </c>
      <c r="J23" s="98"/>
      <c r="K23" s="98"/>
      <c r="L23" s="98"/>
      <c r="M23" s="98"/>
      <c r="N23" s="98"/>
      <c r="R23" s="143">
        <f>100*R22+Q22</f>
        <v>100</v>
      </c>
    </row>
    <row r="24" spans="2:20" ht="240" customHeight="1" x14ac:dyDescent="0.35">
      <c r="B24" s="233" t="s">
        <v>40</v>
      </c>
      <c r="C24" s="234"/>
      <c r="D24" s="234"/>
      <c r="E24" s="234"/>
      <c r="F24" s="234"/>
      <c r="G24" s="235"/>
      <c r="H24" s="63" t="s">
        <v>67</v>
      </c>
    </row>
    <row r="25" spans="2:20" ht="84.75" customHeight="1" x14ac:dyDescent="0.35">
      <c r="B25" s="227" t="s">
        <v>47</v>
      </c>
      <c r="C25" s="218"/>
      <c r="D25" s="218"/>
      <c r="E25" s="218"/>
      <c r="F25" s="218"/>
      <c r="G25" s="218"/>
      <c r="H25" s="218"/>
      <c r="I25" s="218"/>
      <c r="J25" s="218"/>
      <c r="K25" s="218"/>
      <c r="L25" s="218"/>
      <c r="M25" s="218"/>
      <c r="N25" s="218"/>
      <c r="O25" s="218"/>
      <c r="P25" s="218"/>
      <c r="Q25" s="218"/>
    </row>
  </sheetData>
  <mergeCells count="19">
    <mergeCell ref="B25:Q25"/>
    <mergeCell ref="B15:B17"/>
    <mergeCell ref="B18:B20"/>
    <mergeCell ref="B21:C21"/>
    <mergeCell ref="B22:C22"/>
    <mergeCell ref="B23:C23"/>
    <mergeCell ref="B24:G24"/>
    <mergeCell ref="B14:C14"/>
    <mergeCell ref="B1:P1"/>
    <mergeCell ref="B3:P3"/>
    <mergeCell ref="B4:P4"/>
    <mergeCell ref="B6:P6"/>
    <mergeCell ref="B8:C8"/>
    <mergeCell ref="B9:C9"/>
    <mergeCell ref="B10:C10"/>
    <mergeCell ref="B11:C11"/>
    <mergeCell ref="B12:C12"/>
    <mergeCell ref="B13:C13"/>
    <mergeCell ref="E13:I13"/>
  </mergeCells>
  <pageMargins left="0.31496062992125984" right="0.31496062992125984" top="0.35433070866141736" bottom="0.35433070866141736" header="0.31496062992125984" footer="0.31496062992125984"/>
  <pageSetup paperSize="9" scale="41" orientation="landscape" r:id="rId1"/>
  <colBreaks count="1" manualBreakCount="1">
    <brk id="17" max="2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5"/>
  <sheetViews>
    <sheetView view="pageBreakPreview" topLeftCell="A7" zoomScale="60" zoomScaleNormal="40" workbookViewId="0">
      <selection activeCell="I24" sqref="I24"/>
    </sheetView>
  </sheetViews>
  <sheetFormatPr defaultRowHeight="23.25" x14ac:dyDescent="0.35"/>
  <cols>
    <col min="1" max="1" width="0.42578125" style="84" customWidth="1"/>
    <col min="2" max="2" width="22.28515625" style="84" customWidth="1"/>
    <col min="3" max="3" width="101" style="84" customWidth="1"/>
    <col min="4" max="4" width="6.28515625" style="85" customWidth="1"/>
    <col min="5" max="5" width="37.140625" style="86" customWidth="1"/>
    <col min="6" max="9" width="37.140625" style="85" customWidth="1"/>
    <col min="10" max="10" width="0.140625" style="85" hidden="1" customWidth="1"/>
    <col min="11" max="11" width="3.5703125" style="85" hidden="1" customWidth="1"/>
    <col min="12" max="12" width="1.140625" style="85" customWidth="1"/>
    <col min="13" max="14" width="0.28515625" style="85" customWidth="1"/>
    <col min="15" max="15" width="0.7109375" style="84" customWidth="1"/>
    <col min="16" max="16" width="2.42578125" style="84" customWidth="1"/>
    <col min="17" max="17" width="23.42578125" style="84" customWidth="1"/>
    <col min="18" max="18" width="17" style="84" customWidth="1"/>
    <col min="19" max="19" width="9.140625" style="84"/>
    <col min="20" max="20" width="17.5703125" style="84" customWidth="1"/>
    <col min="21" max="16384" width="9.140625" style="84"/>
  </cols>
  <sheetData>
    <row r="1" spans="2:19" ht="63.75" customHeight="1" x14ac:dyDescent="0.35">
      <c r="B1" s="217" t="s">
        <v>9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</row>
    <row r="2" spans="2:19" ht="6.75" customHeight="1" x14ac:dyDescent="0.35">
      <c r="O2" s="150"/>
      <c r="P2" s="151"/>
    </row>
    <row r="3" spans="2:19" ht="72.75" customHeight="1" x14ac:dyDescent="0.35">
      <c r="B3" s="219" t="s">
        <v>11</v>
      </c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</row>
    <row r="4" spans="2:19" s="89" customFormat="1" ht="112.5" customHeight="1" x14ac:dyDescent="0.35">
      <c r="B4" s="194" t="s">
        <v>68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</row>
    <row r="5" spans="2:19" ht="4.5" hidden="1" customHeight="1" x14ac:dyDescent="0.35">
      <c r="C5" s="153"/>
      <c r="D5" s="91"/>
      <c r="E5" s="92"/>
      <c r="F5" s="91"/>
      <c r="G5" s="91"/>
      <c r="H5" s="91"/>
      <c r="I5" s="91"/>
      <c r="J5" s="91"/>
      <c r="K5" s="91"/>
      <c r="L5" s="91"/>
      <c r="M5" s="91"/>
      <c r="N5" s="91"/>
      <c r="O5" s="93"/>
      <c r="P5" s="93"/>
    </row>
    <row r="6" spans="2:19" ht="38.25" customHeight="1" x14ac:dyDescent="0.35">
      <c r="B6" s="222" t="s">
        <v>12</v>
      </c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</row>
    <row r="7" spans="2:19" ht="9.75" customHeight="1" x14ac:dyDescent="0.35">
      <c r="C7" s="152"/>
      <c r="D7" s="152"/>
      <c r="E7" s="95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</row>
    <row r="8" spans="2:19" s="99" customFormat="1" ht="25.5" customHeight="1" x14ac:dyDescent="0.25">
      <c r="B8" s="215" t="s">
        <v>6</v>
      </c>
      <c r="C8" s="223"/>
      <c r="D8" s="96">
        <v>1</v>
      </c>
      <c r="E8" s="97">
        <v>1</v>
      </c>
      <c r="F8" s="96">
        <v>2</v>
      </c>
      <c r="G8" s="97">
        <v>3</v>
      </c>
      <c r="H8" s="96">
        <v>4</v>
      </c>
      <c r="I8" s="97">
        <v>5</v>
      </c>
      <c r="J8" s="98"/>
      <c r="K8" s="98"/>
      <c r="L8" s="98"/>
      <c r="M8" s="98"/>
      <c r="N8" s="98"/>
      <c r="O8" s="98"/>
      <c r="P8" s="91"/>
    </row>
    <row r="9" spans="2:19" ht="20.25" customHeight="1" x14ac:dyDescent="0.35">
      <c r="B9" s="215" t="s">
        <v>8</v>
      </c>
      <c r="C9" s="216"/>
      <c r="D9" s="100">
        <v>2</v>
      </c>
      <c r="E9" s="101"/>
      <c r="F9" s="100"/>
      <c r="G9" s="100"/>
      <c r="H9" s="100"/>
      <c r="I9" s="100"/>
      <c r="J9" s="102"/>
      <c r="K9" s="102"/>
      <c r="L9" s="102"/>
      <c r="M9" s="102"/>
      <c r="N9" s="102"/>
      <c r="O9" s="153"/>
      <c r="P9" s="153"/>
      <c r="Q9" s="89"/>
      <c r="R9" s="89"/>
      <c r="S9" s="89"/>
    </row>
    <row r="10" spans="2:19" ht="35.25" customHeight="1" x14ac:dyDescent="0.35">
      <c r="B10" s="215" t="s">
        <v>23</v>
      </c>
      <c r="C10" s="216"/>
      <c r="D10" s="96">
        <v>3</v>
      </c>
      <c r="E10" s="103" t="s">
        <v>22</v>
      </c>
      <c r="F10" s="96" t="s">
        <v>24</v>
      </c>
      <c r="G10" s="96" t="s">
        <v>25</v>
      </c>
      <c r="H10" s="104" t="s">
        <v>26</v>
      </c>
      <c r="I10" s="104" t="s">
        <v>34</v>
      </c>
      <c r="J10" s="98"/>
      <c r="K10" s="98"/>
      <c r="L10" s="98"/>
      <c r="M10" s="98"/>
      <c r="N10" s="98"/>
      <c r="O10" s="153"/>
      <c r="P10" s="153"/>
      <c r="Q10" s="89"/>
      <c r="R10" s="89"/>
      <c r="S10" s="89"/>
    </row>
    <row r="11" spans="2:19" ht="20.25" customHeight="1" x14ac:dyDescent="0.35">
      <c r="B11" s="215" t="s">
        <v>0</v>
      </c>
      <c r="C11" s="216"/>
      <c r="D11" s="100">
        <v>4</v>
      </c>
      <c r="E11" s="105">
        <v>23742.7</v>
      </c>
      <c r="F11" s="105">
        <v>21470.6</v>
      </c>
      <c r="G11" s="105">
        <v>25503.8</v>
      </c>
      <c r="H11" s="105">
        <v>20486.599999999999</v>
      </c>
      <c r="I11" s="105">
        <v>16460.2</v>
      </c>
      <c r="J11" s="98"/>
      <c r="K11" s="98"/>
      <c r="L11" s="98"/>
      <c r="M11" s="98"/>
      <c r="N11" s="98"/>
      <c r="O11" s="153"/>
      <c r="P11" s="153"/>
      <c r="Q11" s="106">
        <f>E11+F11+G11+H11+I11</f>
        <v>107663.90000000001</v>
      </c>
      <c r="R11" s="89"/>
      <c r="S11" s="89"/>
    </row>
    <row r="12" spans="2:19" ht="50.25" customHeight="1" x14ac:dyDescent="0.35">
      <c r="B12" s="215" t="s">
        <v>1</v>
      </c>
      <c r="C12" s="216"/>
      <c r="D12" s="96">
        <v>5</v>
      </c>
      <c r="E12" s="101" t="s">
        <v>27</v>
      </c>
      <c r="F12" s="101" t="s">
        <v>27</v>
      </c>
      <c r="G12" s="101" t="s">
        <v>27</v>
      </c>
      <c r="H12" s="101" t="s">
        <v>27</v>
      </c>
      <c r="I12" s="101" t="s">
        <v>27</v>
      </c>
      <c r="J12" s="102"/>
      <c r="K12" s="102"/>
      <c r="L12" s="102"/>
      <c r="M12" s="102"/>
      <c r="N12" s="102"/>
      <c r="O12" s="153"/>
      <c r="P12" s="153"/>
      <c r="Q12" s="89"/>
      <c r="R12" s="89"/>
      <c r="S12" s="89"/>
    </row>
    <row r="13" spans="2:19" ht="21" customHeight="1" x14ac:dyDescent="0.35">
      <c r="B13" s="215" t="s">
        <v>2</v>
      </c>
      <c r="C13" s="216"/>
      <c r="D13" s="100">
        <v>6</v>
      </c>
      <c r="E13" s="224" t="s">
        <v>28</v>
      </c>
      <c r="F13" s="225"/>
      <c r="G13" s="225"/>
      <c r="H13" s="225"/>
      <c r="I13" s="226"/>
      <c r="J13" s="98"/>
      <c r="K13" s="98"/>
      <c r="L13" s="98"/>
      <c r="M13" s="98"/>
      <c r="N13" s="98"/>
      <c r="O13" s="153"/>
      <c r="P13" s="153"/>
      <c r="Q13" s="89"/>
      <c r="R13" s="89"/>
      <c r="S13" s="89"/>
    </row>
    <row r="14" spans="2:19" ht="20.25" customHeight="1" x14ac:dyDescent="0.35">
      <c r="B14" s="215" t="s">
        <v>3</v>
      </c>
      <c r="C14" s="216"/>
      <c r="D14" s="96">
        <v>7</v>
      </c>
      <c r="E14" s="107" t="s">
        <v>29</v>
      </c>
      <c r="F14" s="107" t="s">
        <v>30</v>
      </c>
      <c r="G14" s="107" t="s">
        <v>31</v>
      </c>
      <c r="H14" s="107" t="s">
        <v>32</v>
      </c>
      <c r="I14" s="107" t="s">
        <v>33</v>
      </c>
      <c r="J14" s="98"/>
      <c r="K14" s="98"/>
      <c r="L14" s="98"/>
      <c r="M14" s="98"/>
      <c r="N14" s="98"/>
      <c r="O14" s="153"/>
      <c r="P14" s="153"/>
      <c r="Q14" s="89"/>
      <c r="R14" s="89"/>
      <c r="S14" s="89"/>
    </row>
    <row r="15" spans="2:19" ht="48.75" customHeight="1" x14ac:dyDescent="0.35">
      <c r="B15" s="228" t="s">
        <v>15</v>
      </c>
      <c r="C15" s="149" t="s">
        <v>35</v>
      </c>
      <c r="D15" s="100">
        <v>8</v>
      </c>
      <c r="E15" s="109">
        <f>E11*6.52/1000</f>
        <v>154.80240399999997</v>
      </c>
      <c r="F15" s="109">
        <f>F11*6.52/1000</f>
        <v>139.98831199999998</v>
      </c>
      <c r="G15" s="109">
        <f>G11*6.52/1000</f>
        <v>166.28477599999999</v>
      </c>
      <c r="H15" s="109">
        <f>H11*6.52/1000</f>
        <v>133.57263199999997</v>
      </c>
      <c r="I15" s="109">
        <f>I11*6.52/1000</f>
        <v>107.320504</v>
      </c>
      <c r="J15" s="102"/>
      <c r="K15" s="102"/>
      <c r="L15" s="102"/>
      <c r="M15" s="102"/>
      <c r="N15" s="102"/>
      <c r="O15" s="153"/>
      <c r="P15" s="153"/>
      <c r="Q15" s="110">
        <f>SUM(E15:I15)</f>
        <v>701.96862799999997</v>
      </c>
      <c r="R15" s="89"/>
      <c r="S15" s="89"/>
    </row>
    <row r="16" spans="2:19" ht="48.75" customHeight="1" x14ac:dyDescent="0.35">
      <c r="B16" s="229"/>
      <c r="C16" s="149" t="s">
        <v>36</v>
      </c>
      <c r="D16" s="96">
        <v>9</v>
      </c>
      <c r="E16" s="111">
        <f>E19-'МАЙ 2019'!E19</f>
        <v>123.24499999999989</v>
      </c>
      <c r="F16" s="111">
        <f>F19-'МАЙ 2019'!F19</f>
        <v>100.71299999999974</v>
      </c>
      <c r="G16" s="111">
        <f>G19-'МАЙ 2019'!G19</f>
        <v>155.38900000000012</v>
      </c>
      <c r="H16" s="111">
        <f>H19-'МАЙ 2019'!H19</f>
        <v>178.72399999999925</v>
      </c>
      <c r="I16" s="111">
        <f>I19-'МАЙ 2019'!I19</f>
        <v>94.851000000000568</v>
      </c>
      <c r="J16" s="98"/>
      <c r="K16" s="98"/>
      <c r="L16" s="98"/>
      <c r="M16" s="98"/>
      <c r="N16" s="98"/>
      <c r="O16" s="153"/>
      <c r="P16" s="153"/>
      <c r="Q16" s="112">
        <f>SUM(E16:I16)</f>
        <v>652.92199999999957</v>
      </c>
      <c r="R16" s="154">
        <f>100*Q16/Q15</f>
        <v>93.012988608943871</v>
      </c>
      <c r="S16" s="89"/>
    </row>
    <row r="17" spans="2:20" ht="67.5" customHeight="1" x14ac:dyDescent="0.35">
      <c r="B17" s="230"/>
      <c r="C17" s="113" t="s">
        <v>53</v>
      </c>
      <c r="D17" s="100">
        <v>10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98"/>
      <c r="K17" s="98"/>
      <c r="L17" s="98"/>
      <c r="M17" s="98"/>
      <c r="N17" s="98"/>
      <c r="O17" s="153"/>
      <c r="P17" s="153"/>
      <c r="Q17" s="110">
        <f t="shared" ref="Q17:Q20" si="0">SUM(E17:I17)</f>
        <v>0</v>
      </c>
      <c r="R17" s="89"/>
      <c r="S17" s="89"/>
    </row>
    <row r="18" spans="2:20" ht="48.75" customHeight="1" x14ac:dyDescent="0.35">
      <c r="B18" s="231" t="s">
        <v>16</v>
      </c>
      <c r="C18" s="149" t="s">
        <v>35</v>
      </c>
      <c r="D18" s="96">
        <v>11</v>
      </c>
      <c r="E18" s="111">
        <f>(E11*(5.84*23+6.27*24+6.52*12))/1000</f>
        <v>8619.5498079999998</v>
      </c>
      <c r="F18" s="111">
        <f t="shared" ref="F18:I18" si="1">(F11*(5.84*23+6.27*24+6.52*12))/1000</f>
        <v>7794.686623999999</v>
      </c>
      <c r="G18" s="111">
        <f t="shared" si="1"/>
        <v>9258.8995519999989</v>
      </c>
      <c r="H18" s="111">
        <f t="shared" si="1"/>
        <v>7437.4552639999984</v>
      </c>
      <c r="I18" s="111">
        <f t="shared" si="1"/>
        <v>5975.7110079999993</v>
      </c>
      <c r="J18" s="98"/>
      <c r="K18" s="98"/>
      <c r="L18" s="98"/>
      <c r="M18" s="98"/>
      <c r="N18" s="98"/>
      <c r="O18" s="153"/>
      <c r="P18" s="153"/>
      <c r="Q18" s="110">
        <f t="shared" si="0"/>
        <v>39086.302255999995</v>
      </c>
      <c r="R18" s="89"/>
      <c r="S18" s="89"/>
      <c r="T18" s="84" t="s">
        <v>45</v>
      </c>
    </row>
    <row r="19" spans="2:20" ht="46.5" x14ac:dyDescent="0.35">
      <c r="B19" s="232"/>
      <c r="C19" s="149" t="s">
        <v>36</v>
      </c>
      <c r="D19" s="100">
        <v>12</v>
      </c>
      <c r="E19" s="114">
        <v>6994.24</v>
      </c>
      <c r="F19" s="114">
        <v>5988.1030000000001</v>
      </c>
      <c r="G19" s="114">
        <v>7575.39</v>
      </c>
      <c r="H19" s="114">
        <v>5946.11</v>
      </c>
      <c r="I19" s="114">
        <v>4831.93</v>
      </c>
      <c r="J19" s="102"/>
      <c r="K19" s="102"/>
      <c r="L19" s="102"/>
      <c r="M19" s="102"/>
      <c r="N19" s="102"/>
      <c r="O19" s="153"/>
      <c r="P19" s="153"/>
      <c r="Q19" s="110">
        <f t="shared" si="0"/>
        <v>31335.773000000001</v>
      </c>
      <c r="R19" s="89"/>
      <c r="S19" s="89"/>
      <c r="T19" s="112">
        <f>Q19-'МАРТ 2019'!Q19</f>
        <v>1972.4730000000018</v>
      </c>
    </row>
    <row r="20" spans="2:20" ht="52.5" customHeight="1" x14ac:dyDescent="0.35">
      <c r="B20" s="232"/>
      <c r="C20" s="113" t="s">
        <v>63</v>
      </c>
      <c r="D20" s="96">
        <v>13</v>
      </c>
      <c r="E20" s="103">
        <v>0</v>
      </c>
      <c r="F20" s="103">
        <v>0</v>
      </c>
      <c r="G20" s="103">
        <v>0</v>
      </c>
      <c r="H20" s="103">
        <v>0</v>
      </c>
      <c r="I20" s="103">
        <v>0</v>
      </c>
      <c r="J20" s="98"/>
      <c r="K20" s="98"/>
      <c r="L20" s="98"/>
      <c r="M20" s="98"/>
      <c r="N20" s="98"/>
      <c r="O20" s="153"/>
      <c r="P20" s="153"/>
      <c r="Q20" s="110">
        <f t="shared" si="0"/>
        <v>0</v>
      </c>
      <c r="R20" s="89"/>
      <c r="S20" s="89"/>
    </row>
    <row r="21" spans="2:20" ht="41.25" customHeight="1" x14ac:dyDescent="0.35">
      <c r="B21" s="215" t="s">
        <v>17</v>
      </c>
      <c r="C21" s="223"/>
      <c r="D21" s="100">
        <v>14</v>
      </c>
      <c r="E21" s="115">
        <f>E19-E20</f>
        <v>6994.24</v>
      </c>
      <c r="F21" s="115">
        <f t="shared" ref="F21:I21" si="2">F19-F20</f>
        <v>5988.1030000000001</v>
      </c>
      <c r="G21" s="115">
        <f t="shared" si="2"/>
        <v>7575.39</v>
      </c>
      <c r="H21" s="115">
        <f t="shared" si="2"/>
        <v>5946.11</v>
      </c>
      <c r="I21" s="115">
        <f t="shared" si="2"/>
        <v>4831.93</v>
      </c>
      <c r="J21" s="98"/>
      <c r="K21" s="98"/>
      <c r="L21" s="98"/>
      <c r="M21" s="98"/>
      <c r="N21" s="98"/>
      <c r="O21" s="153"/>
      <c r="P21" s="153"/>
      <c r="Q21" s="110">
        <f>SUM(E21:I21)</f>
        <v>31335.773000000001</v>
      </c>
      <c r="R21" s="89"/>
      <c r="S21" s="89"/>
    </row>
    <row r="22" spans="2:20" ht="43.5" customHeight="1" x14ac:dyDescent="0.35">
      <c r="B22" s="215" t="s">
        <v>4</v>
      </c>
      <c r="C22" s="216"/>
      <c r="D22" s="96">
        <v>15</v>
      </c>
      <c r="E22" s="116">
        <f>(1-E19/E18)*100</f>
        <v>18.856086967459863</v>
      </c>
      <c r="F22" s="116">
        <f t="shared" ref="F22:I22" si="3">(1-F19/F18)*100</f>
        <v>23.177116812335875</v>
      </c>
      <c r="G22" s="116">
        <f t="shared" si="3"/>
        <v>18.182609526596995</v>
      </c>
      <c r="H22" s="116">
        <f t="shared" si="3"/>
        <v>20.051821638762046</v>
      </c>
      <c r="I22" s="116">
        <f t="shared" si="3"/>
        <v>19.140500711442687</v>
      </c>
      <c r="J22" s="98"/>
      <c r="K22" s="98"/>
      <c r="L22" s="98"/>
      <c r="M22" s="98"/>
      <c r="N22" s="98"/>
      <c r="Q22" s="116">
        <f>(1-Q19/Q18)*100</f>
        <v>19.829272171199662</v>
      </c>
      <c r="R22" s="142">
        <f>Q21/Q18</f>
        <v>0.80170727828800337</v>
      </c>
    </row>
    <row r="23" spans="2:20" ht="43.5" customHeight="1" x14ac:dyDescent="0.35">
      <c r="B23" s="215" t="s">
        <v>5</v>
      </c>
      <c r="C23" s="216"/>
      <c r="D23" s="100">
        <v>16</v>
      </c>
      <c r="E23" s="103" t="s">
        <v>20</v>
      </c>
      <c r="F23" s="103" t="s">
        <v>20</v>
      </c>
      <c r="G23" s="103" t="s">
        <v>20</v>
      </c>
      <c r="H23" s="103" t="s">
        <v>20</v>
      </c>
      <c r="I23" s="103" t="s">
        <v>20</v>
      </c>
      <c r="J23" s="98"/>
      <c r="K23" s="98"/>
      <c r="L23" s="98"/>
      <c r="M23" s="98"/>
      <c r="N23" s="98"/>
      <c r="R23" s="143">
        <f>100*R22+Q22</f>
        <v>100</v>
      </c>
    </row>
    <row r="24" spans="2:20" ht="240" customHeight="1" x14ac:dyDescent="0.35">
      <c r="B24" s="233" t="s">
        <v>40</v>
      </c>
      <c r="C24" s="234"/>
      <c r="D24" s="234"/>
      <c r="E24" s="234"/>
      <c r="F24" s="234"/>
      <c r="G24" s="235"/>
      <c r="H24" s="63" t="s">
        <v>69</v>
      </c>
    </row>
    <row r="25" spans="2:20" ht="84.75" customHeight="1" x14ac:dyDescent="0.35">
      <c r="B25" s="227" t="s">
        <v>47</v>
      </c>
      <c r="C25" s="218"/>
      <c r="D25" s="218"/>
      <c r="E25" s="218"/>
      <c r="F25" s="218"/>
      <c r="G25" s="218"/>
      <c r="H25" s="218"/>
      <c r="I25" s="218"/>
      <c r="J25" s="218"/>
      <c r="K25" s="218"/>
      <c r="L25" s="218"/>
      <c r="M25" s="218"/>
      <c r="N25" s="218"/>
      <c r="O25" s="218"/>
      <c r="P25" s="218"/>
      <c r="Q25" s="218"/>
    </row>
  </sheetData>
  <mergeCells count="19">
    <mergeCell ref="B14:C14"/>
    <mergeCell ref="B1:P1"/>
    <mergeCell ref="B3:P3"/>
    <mergeCell ref="B4:P4"/>
    <mergeCell ref="B6:P6"/>
    <mergeCell ref="B8:C8"/>
    <mergeCell ref="B9:C9"/>
    <mergeCell ref="B10:C10"/>
    <mergeCell ref="B11:C11"/>
    <mergeCell ref="B12:C12"/>
    <mergeCell ref="B13:C13"/>
    <mergeCell ref="E13:I13"/>
    <mergeCell ref="B25:Q25"/>
    <mergeCell ref="B15:B17"/>
    <mergeCell ref="B18:B20"/>
    <mergeCell ref="B21:C21"/>
    <mergeCell ref="B22:C22"/>
    <mergeCell ref="B23:C23"/>
    <mergeCell ref="B24:G24"/>
  </mergeCells>
  <pageMargins left="0.7" right="0.7" top="0.75" bottom="0.75" header="0.3" footer="0.3"/>
  <pageSetup paperSize="9" scale="37" orientation="landscape" r:id="rId1"/>
  <colBreaks count="1" manualBreakCount="1">
    <brk id="17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25"/>
  <sheetViews>
    <sheetView view="pageBreakPreview" topLeftCell="B10" zoomScale="60" zoomScaleNormal="40" workbookViewId="0">
      <selection activeCell="B24" sqref="B24:G24"/>
    </sheetView>
  </sheetViews>
  <sheetFormatPr defaultRowHeight="23.25" x14ac:dyDescent="0.35"/>
  <cols>
    <col min="1" max="1" width="0.42578125" style="84" customWidth="1"/>
    <col min="2" max="2" width="22.28515625" style="84" customWidth="1"/>
    <col min="3" max="3" width="101" style="84" customWidth="1"/>
    <col min="4" max="4" width="6.28515625" style="85" customWidth="1"/>
    <col min="5" max="5" width="37.140625" style="86" customWidth="1"/>
    <col min="6" max="9" width="37.140625" style="85" customWidth="1"/>
    <col min="10" max="10" width="0.140625" style="85" hidden="1" customWidth="1"/>
    <col min="11" max="11" width="3.5703125" style="85" hidden="1" customWidth="1"/>
    <col min="12" max="12" width="1.140625" style="85" customWidth="1"/>
    <col min="13" max="14" width="0.28515625" style="85" customWidth="1"/>
    <col min="15" max="15" width="0.7109375" style="84" customWidth="1"/>
    <col min="16" max="16" width="2.42578125" style="84" customWidth="1"/>
    <col min="17" max="17" width="23.42578125" style="84" customWidth="1"/>
    <col min="18" max="18" width="17" style="84" customWidth="1"/>
    <col min="19" max="19" width="9.140625" style="84"/>
    <col min="20" max="20" width="17.5703125" style="84" customWidth="1"/>
    <col min="21" max="16384" width="9.140625" style="84"/>
  </cols>
  <sheetData>
    <row r="1" spans="2:19" ht="63.75" customHeight="1" x14ac:dyDescent="0.35">
      <c r="B1" s="217" t="s">
        <v>9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</row>
    <row r="2" spans="2:19" ht="6.75" customHeight="1" x14ac:dyDescent="0.35">
      <c r="O2" s="156"/>
      <c r="P2" s="157"/>
    </row>
    <row r="3" spans="2:19" ht="72.75" customHeight="1" x14ac:dyDescent="0.35">
      <c r="B3" s="219" t="s">
        <v>11</v>
      </c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</row>
    <row r="4" spans="2:19" s="89" customFormat="1" ht="112.5" customHeight="1" x14ac:dyDescent="0.35">
      <c r="B4" s="194" t="s">
        <v>71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</row>
    <row r="5" spans="2:19" ht="4.5" hidden="1" customHeight="1" x14ac:dyDescent="0.35">
      <c r="C5" s="159"/>
      <c r="D5" s="91"/>
      <c r="E5" s="92"/>
      <c r="F5" s="91"/>
      <c r="G5" s="91"/>
      <c r="H5" s="91"/>
      <c r="I5" s="91"/>
      <c r="J5" s="91"/>
      <c r="K5" s="91"/>
      <c r="L5" s="91"/>
      <c r="M5" s="91"/>
      <c r="N5" s="91"/>
      <c r="O5" s="93"/>
      <c r="P5" s="93"/>
    </row>
    <row r="6" spans="2:19" ht="38.25" customHeight="1" x14ac:dyDescent="0.35">
      <c r="B6" s="222" t="s">
        <v>12</v>
      </c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</row>
    <row r="7" spans="2:19" ht="9.75" customHeight="1" x14ac:dyDescent="0.35">
      <c r="C7" s="158"/>
      <c r="D7" s="158"/>
      <c r="E7" s="95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</row>
    <row r="8" spans="2:19" s="99" customFormat="1" ht="25.5" customHeight="1" x14ac:dyDescent="0.25">
      <c r="B8" s="215" t="s">
        <v>6</v>
      </c>
      <c r="C8" s="223"/>
      <c r="D8" s="96">
        <v>1</v>
      </c>
      <c r="E8" s="97">
        <v>1</v>
      </c>
      <c r="F8" s="96">
        <v>2</v>
      </c>
      <c r="G8" s="97">
        <v>3</v>
      </c>
      <c r="H8" s="96">
        <v>4</v>
      </c>
      <c r="I8" s="97">
        <v>5</v>
      </c>
      <c r="J8" s="98"/>
      <c r="K8" s="98"/>
      <c r="L8" s="98"/>
      <c r="M8" s="98"/>
      <c r="N8" s="98"/>
      <c r="O8" s="98"/>
      <c r="P8" s="91"/>
    </row>
    <row r="9" spans="2:19" ht="20.25" customHeight="1" x14ac:dyDescent="0.35">
      <c r="B9" s="215" t="s">
        <v>8</v>
      </c>
      <c r="C9" s="216"/>
      <c r="D9" s="100">
        <v>2</v>
      </c>
      <c r="E9" s="101"/>
      <c r="F9" s="100"/>
      <c r="G9" s="100"/>
      <c r="H9" s="100"/>
      <c r="I9" s="100"/>
      <c r="J9" s="102"/>
      <c r="K9" s="102"/>
      <c r="L9" s="102"/>
      <c r="M9" s="102"/>
      <c r="N9" s="102"/>
      <c r="O9" s="159"/>
      <c r="P9" s="159"/>
      <c r="Q9" s="89"/>
      <c r="R9" s="89"/>
      <c r="S9" s="89"/>
    </row>
    <row r="10" spans="2:19" ht="35.25" customHeight="1" x14ac:dyDescent="0.35">
      <c r="B10" s="215" t="s">
        <v>23</v>
      </c>
      <c r="C10" s="216"/>
      <c r="D10" s="96">
        <v>3</v>
      </c>
      <c r="E10" s="103" t="s">
        <v>22</v>
      </c>
      <c r="F10" s="96" t="s">
        <v>24</v>
      </c>
      <c r="G10" s="96" t="s">
        <v>25</v>
      </c>
      <c r="H10" s="104" t="s">
        <v>26</v>
      </c>
      <c r="I10" s="104" t="s">
        <v>34</v>
      </c>
      <c r="J10" s="98"/>
      <c r="K10" s="98"/>
      <c r="L10" s="98"/>
      <c r="M10" s="98"/>
      <c r="N10" s="98"/>
      <c r="O10" s="159"/>
      <c r="P10" s="159"/>
      <c r="Q10" s="89"/>
      <c r="R10" s="89"/>
      <c r="S10" s="89"/>
    </row>
    <row r="11" spans="2:19" ht="20.25" customHeight="1" x14ac:dyDescent="0.35">
      <c r="B11" s="215" t="s">
        <v>0</v>
      </c>
      <c r="C11" s="216"/>
      <c r="D11" s="100">
        <v>4</v>
      </c>
      <c r="E11" s="105">
        <v>23742.7</v>
      </c>
      <c r="F11" s="105">
        <v>21470.6</v>
      </c>
      <c r="G11" s="105">
        <v>25503.8</v>
      </c>
      <c r="H11" s="105">
        <v>20486.599999999999</v>
      </c>
      <c r="I11" s="105">
        <v>16460.2</v>
      </c>
      <c r="J11" s="98"/>
      <c r="K11" s="98"/>
      <c r="L11" s="98"/>
      <c r="M11" s="98"/>
      <c r="N11" s="98"/>
      <c r="O11" s="159"/>
      <c r="P11" s="159"/>
      <c r="Q11" s="106">
        <f>E11+F11+G11+H11+I11</f>
        <v>107663.90000000001</v>
      </c>
      <c r="R11" s="89"/>
      <c r="S11" s="89"/>
    </row>
    <row r="12" spans="2:19" ht="50.25" customHeight="1" x14ac:dyDescent="0.35">
      <c r="B12" s="215" t="s">
        <v>1</v>
      </c>
      <c r="C12" s="216"/>
      <c r="D12" s="96">
        <v>5</v>
      </c>
      <c r="E12" s="101" t="s">
        <v>27</v>
      </c>
      <c r="F12" s="101" t="s">
        <v>27</v>
      </c>
      <c r="G12" s="101" t="s">
        <v>27</v>
      </c>
      <c r="H12" s="101" t="s">
        <v>27</v>
      </c>
      <c r="I12" s="101" t="s">
        <v>27</v>
      </c>
      <c r="J12" s="102"/>
      <c r="K12" s="102"/>
      <c r="L12" s="102"/>
      <c r="M12" s="102"/>
      <c r="N12" s="102"/>
      <c r="O12" s="159"/>
      <c r="P12" s="159"/>
      <c r="Q12" s="89"/>
      <c r="R12" s="89"/>
      <c r="S12" s="89"/>
    </row>
    <row r="13" spans="2:19" ht="21" customHeight="1" x14ac:dyDescent="0.35">
      <c r="B13" s="215" t="s">
        <v>2</v>
      </c>
      <c r="C13" s="216"/>
      <c r="D13" s="100">
        <v>6</v>
      </c>
      <c r="E13" s="224" t="s">
        <v>28</v>
      </c>
      <c r="F13" s="225"/>
      <c r="G13" s="225"/>
      <c r="H13" s="225"/>
      <c r="I13" s="226"/>
      <c r="J13" s="98"/>
      <c r="K13" s="98"/>
      <c r="L13" s="98"/>
      <c r="M13" s="98"/>
      <c r="N13" s="98"/>
      <c r="O13" s="159"/>
      <c r="P13" s="159"/>
      <c r="Q13" s="89"/>
      <c r="R13" s="89"/>
      <c r="S13" s="89"/>
    </row>
    <row r="14" spans="2:19" ht="20.25" customHeight="1" x14ac:dyDescent="0.35">
      <c r="B14" s="215" t="s">
        <v>3</v>
      </c>
      <c r="C14" s="216"/>
      <c r="D14" s="96">
        <v>7</v>
      </c>
      <c r="E14" s="107" t="s">
        <v>29</v>
      </c>
      <c r="F14" s="107" t="s">
        <v>30</v>
      </c>
      <c r="G14" s="107" t="s">
        <v>31</v>
      </c>
      <c r="H14" s="107" t="s">
        <v>32</v>
      </c>
      <c r="I14" s="107" t="s">
        <v>33</v>
      </c>
      <c r="J14" s="98"/>
      <c r="K14" s="98"/>
      <c r="L14" s="98"/>
      <c r="M14" s="98"/>
      <c r="N14" s="98"/>
      <c r="O14" s="159"/>
      <c r="P14" s="159"/>
      <c r="Q14" s="89"/>
      <c r="R14" s="89"/>
      <c r="S14" s="89"/>
    </row>
    <row r="15" spans="2:19" ht="48.75" customHeight="1" x14ac:dyDescent="0.35">
      <c r="B15" s="228" t="s">
        <v>15</v>
      </c>
      <c r="C15" s="155" t="s">
        <v>35</v>
      </c>
      <c r="D15" s="100">
        <v>8</v>
      </c>
      <c r="E15" s="109">
        <f>E11*6.52/1000</f>
        <v>154.80240399999997</v>
      </c>
      <c r="F15" s="109">
        <f>F11*6.52/1000</f>
        <v>139.98831199999998</v>
      </c>
      <c r="G15" s="109">
        <f>G11*6.52/1000</f>
        <v>166.28477599999999</v>
      </c>
      <c r="H15" s="109">
        <f>H11*6.52/1000</f>
        <v>133.57263199999997</v>
      </c>
      <c r="I15" s="109">
        <f>I11*6.52/1000</f>
        <v>107.320504</v>
      </c>
      <c r="J15" s="102"/>
      <c r="K15" s="102"/>
      <c r="L15" s="102"/>
      <c r="M15" s="102"/>
      <c r="N15" s="102"/>
      <c r="O15" s="159"/>
      <c r="P15" s="159"/>
      <c r="Q15" s="110">
        <f>SUM(E15:I15)</f>
        <v>701.96862799999997</v>
      </c>
      <c r="R15" s="89"/>
      <c r="S15" s="89"/>
    </row>
    <row r="16" spans="2:19" ht="48.75" customHeight="1" x14ac:dyDescent="0.35">
      <c r="B16" s="229"/>
      <c r="C16" s="155" t="s">
        <v>36</v>
      </c>
      <c r="D16" s="96">
        <v>9</v>
      </c>
      <c r="E16" s="111">
        <f>E19-'ИЮНЬ 2019'!E19</f>
        <v>145.72000000000025</v>
      </c>
      <c r="F16" s="111">
        <f>F19-'ИЮНЬ 2019'!F19</f>
        <v>139.14699999999993</v>
      </c>
      <c r="G16" s="111">
        <f>G19-'ИЮНЬ 2019'!G19</f>
        <v>140.10999999999967</v>
      </c>
      <c r="H16" s="111">
        <f>H19-'ИЮНЬ 2019'!H19</f>
        <v>133.28999999999996</v>
      </c>
      <c r="I16" s="111">
        <f>I19-'ИЮНЬ 2019'!I19</f>
        <v>119.84999999999945</v>
      </c>
      <c r="J16" s="98"/>
      <c r="K16" s="98"/>
      <c r="L16" s="98"/>
      <c r="M16" s="98"/>
      <c r="N16" s="98"/>
      <c r="O16" s="159"/>
      <c r="P16" s="159"/>
      <c r="Q16" s="112">
        <f>SUM(E16:I16)</f>
        <v>678.11699999999928</v>
      </c>
      <c r="R16" s="154">
        <f>100*Q16/Q15</f>
        <v>96.602180347011071</v>
      </c>
      <c r="S16" s="89"/>
    </row>
    <row r="17" spans="2:20" ht="67.5" customHeight="1" x14ac:dyDescent="0.35">
      <c r="B17" s="230"/>
      <c r="C17" s="113" t="s">
        <v>53</v>
      </c>
      <c r="D17" s="100">
        <v>10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98"/>
      <c r="K17" s="98"/>
      <c r="L17" s="98"/>
      <c r="M17" s="98"/>
      <c r="N17" s="98"/>
      <c r="O17" s="159"/>
      <c r="P17" s="159"/>
      <c r="Q17" s="110">
        <f t="shared" ref="Q17:Q20" si="0">SUM(E17:I17)</f>
        <v>0</v>
      </c>
      <c r="R17" s="89"/>
      <c r="S17" s="89"/>
    </row>
    <row r="18" spans="2:20" ht="48.75" customHeight="1" x14ac:dyDescent="0.35">
      <c r="B18" s="231" t="s">
        <v>16</v>
      </c>
      <c r="C18" s="155" t="s">
        <v>35</v>
      </c>
      <c r="D18" s="96">
        <v>11</v>
      </c>
      <c r="E18" s="111">
        <f>(E11*(5.84*23+6.27*24+6.52*13))/1000</f>
        <v>8774.3522119999998</v>
      </c>
      <c r="F18" s="111">
        <f t="shared" ref="F18:I18" si="1">(F11*(5.84*23+6.27*24+6.52*13))/1000</f>
        <v>7934.6749359999976</v>
      </c>
      <c r="G18" s="111">
        <f t="shared" si="1"/>
        <v>9425.1843279999975</v>
      </c>
      <c r="H18" s="111">
        <f t="shared" si="1"/>
        <v>7571.0278959999987</v>
      </c>
      <c r="I18" s="111">
        <f t="shared" si="1"/>
        <v>6083.0315119999996</v>
      </c>
      <c r="J18" s="98"/>
      <c r="K18" s="98"/>
      <c r="L18" s="98"/>
      <c r="M18" s="98"/>
      <c r="N18" s="98"/>
      <c r="O18" s="159"/>
      <c r="P18" s="159"/>
      <c r="Q18" s="110">
        <f t="shared" si="0"/>
        <v>39788.270883999998</v>
      </c>
      <c r="R18" s="89"/>
      <c r="S18" s="89"/>
      <c r="T18" s="84" t="s">
        <v>45</v>
      </c>
    </row>
    <row r="19" spans="2:20" ht="46.5" x14ac:dyDescent="0.35">
      <c r="B19" s="232"/>
      <c r="C19" s="155" t="s">
        <v>36</v>
      </c>
      <c r="D19" s="100">
        <v>12</v>
      </c>
      <c r="E19" s="114">
        <v>7139.96</v>
      </c>
      <c r="F19" s="114">
        <v>6127.25</v>
      </c>
      <c r="G19" s="114">
        <v>7715.5</v>
      </c>
      <c r="H19" s="114">
        <v>6079.4</v>
      </c>
      <c r="I19" s="114">
        <v>4951.78</v>
      </c>
      <c r="J19" s="102"/>
      <c r="K19" s="102"/>
      <c r="L19" s="102"/>
      <c r="M19" s="102"/>
      <c r="N19" s="102"/>
      <c r="O19" s="159"/>
      <c r="P19" s="159"/>
      <c r="Q19" s="110">
        <f t="shared" si="0"/>
        <v>32013.89</v>
      </c>
      <c r="R19" s="89"/>
      <c r="S19" s="89"/>
      <c r="T19" s="112">
        <f>Q19-'ИЮНЬ 2019'!Q19</f>
        <v>678.11699999999837</v>
      </c>
    </row>
    <row r="20" spans="2:20" ht="52.5" customHeight="1" x14ac:dyDescent="0.35">
      <c r="B20" s="232"/>
      <c r="C20" s="113" t="s">
        <v>63</v>
      </c>
      <c r="D20" s="96">
        <v>13</v>
      </c>
      <c r="E20" s="103">
        <v>0</v>
      </c>
      <c r="F20" s="103">
        <v>0</v>
      </c>
      <c r="G20" s="103">
        <v>0</v>
      </c>
      <c r="H20" s="103">
        <v>0</v>
      </c>
      <c r="I20" s="103">
        <v>0</v>
      </c>
      <c r="J20" s="98"/>
      <c r="K20" s="98"/>
      <c r="L20" s="98"/>
      <c r="M20" s="98"/>
      <c r="N20" s="98"/>
      <c r="O20" s="159"/>
      <c r="P20" s="159"/>
      <c r="Q20" s="110">
        <f t="shared" si="0"/>
        <v>0</v>
      </c>
      <c r="R20" s="89"/>
      <c r="S20" s="89"/>
    </row>
    <row r="21" spans="2:20" ht="41.25" customHeight="1" x14ac:dyDescent="0.35">
      <c r="B21" s="215" t="s">
        <v>17</v>
      </c>
      <c r="C21" s="223"/>
      <c r="D21" s="100">
        <v>14</v>
      </c>
      <c r="E21" s="115">
        <f>E19-E20</f>
        <v>7139.96</v>
      </c>
      <c r="F21" s="115">
        <f t="shared" ref="F21:I21" si="2">F19-F20</f>
        <v>6127.25</v>
      </c>
      <c r="G21" s="115">
        <f t="shared" si="2"/>
        <v>7715.5</v>
      </c>
      <c r="H21" s="115">
        <f t="shared" si="2"/>
        <v>6079.4</v>
      </c>
      <c r="I21" s="115">
        <f t="shared" si="2"/>
        <v>4951.78</v>
      </c>
      <c r="J21" s="98"/>
      <c r="K21" s="98"/>
      <c r="L21" s="98"/>
      <c r="M21" s="98"/>
      <c r="N21" s="98"/>
      <c r="O21" s="159"/>
      <c r="P21" s="159"/>
      <c r="Q21" s="110">
        <f>SUM(E21:I21)</f>
        <v>32013.89</v>
      </c>
      <c r="R21" s="89"/>
      <c r="S21" s="89"/>
    </row>
    <row r="22" spans="2:20" ht="43.5" customHeight="1" x14ac:dyDescent="0.35">
      <c r="B22" s="215" t="s">
        <v>4</v>
      </c>
      <c r="C22" s="216"/>
      <c r="D22" s="96">
        <v>15</v>
      </c>
      <c r="E22" s="116">
        <f>(1-E19/E18)*100</f>
        <v>18.626927350429</v>
      </c>
      <c r="F22" s="116">
        <f t="shared" ref="F22:I22" si="3">(1-F19/F18)*100</f>
        <v>22.778815144646003</v>
      </c>
      <c r="G22" s="116">
        <f t="shared" si="3"/>
        <v>18.139532008100133</v>
      </c>
      <c r="H22" s="116">
        <f t="shared" si="3"/>
        <v>19.701788402973275</v>
      </c>
      <c r="I22" s="116">
        <f t="shared" si="3"/>
        <v>18.59683793793242</v>
      </c>
      <c r="J22" s="98"/>
      <c r="K22" s="98"/>
      <c r="L22" s="98"/>
      <c r="M22" s="98"/>
      <c r="N22" s="98"/>
      <c r="Q22" s="116">
        <f>(1-Q19/Q18)*100</f>
        <v>19.539378593922009</v>
      </c>
      <c r="R22" s="142">
        <f>Q21/Q18</f>
        <v>0.80460621406077992</v>
      </c>
    </row>
    <row r="23" spans="2:20" ht="43.5" customHeight="1" x14ac:dyDescent="0.35">
      <c r="B23" s="215" t="s">
        <v>5</v>
      </c>
      <c r="C23" s="216"/>
      <c r="D23" s="100">
        <v>16</v>
      </c>
      <c r="E23" s="103" t="s">
        <v>20</v>
      </c>
      <c r="F23" s="103" t="s">
        <v>20</v>
      </c>
      <c r="G23" s="103" t="s">
        <v>20</v>
      </c>
      <c r="H23" s="103" t="s">
        <v>20</v>
      </c>
      <c r="I23" s="103" t="s">
        <v>20</v>
      </c>
      <c r="J23" s="98"/>
      <c r="K23" s="98"/>
      <c r="L23" s="98"/>
      <c r="M23" s="98"/>
      <c r="N23" s="98"/>
      <c r="R23" s="143">
        <f>100*R22+Q22</f>
        <v>100</v>
      </c>
    </row>
    <row r="24" spans="2:20" ht="240" customHeight="1" x14ac:dyDescent="0.35">
      <c r="B24" s="233" t="s">
        <v>40</v>
      </c>
      <c r="C24" s="234"/>
      <c r="D24" s="234"/>
      <c r="E24" s="234"/>
      <c r="F24" s="234"/>
      <c r="G24" s="235"/>
      <c r="H24" s="63" t="s">
        <v>70</v>
      </c>
    </row>
    <row r="25" spans="2:20" ht="84.75" customHeight="1" x14ac:dyDescent="0.35">
      <c r="B25" s="227" t="s">
        <v>47</v>
      </c>
      <c r="C25" s="218"/>
      <c r="D25" s="218"/>
      <c r="E25" s="218"/>
      <c r="F25" s="218"/>
      <c r="G25" s="218"/>
      <c r="H25" s="218"/>
      <c r="I25" s="218"/>
      <c r="J25" s="218"/>
      <c r="K25" s="218"/>
      <c r="L25" s="218"/>
      <c r="M25" s="218"/>
      <c r="N25" s="218"/>
      <c r="O25" s="218"/>
      <c r="P25" s="218"/>
      <c r="Q25" s="218"/>
    </row>
  </sheetData>
  <mergeCells count="19">
    <mergeCell ref="B14:C14"/>
    <mergeCell ref="B1:P1"/>
    <mergeCell ref="B3:P3"/>
    <mergeCell ref="B4:P4"/>
    <mergeCell ref="B6:P6"/>
    <mergeCell ref="B8:C8"/>
    <mergeCell ref="B9:C9"/>
    <mergeCell ref="B10:C10"/>
    <mergeCell ref="B11:C11"/>
    <mergeCell ref="B12:C12"/>
    <mergeCell ref="B13:C13"/>
    <mergeCell ref="E13:I13"/>
    <mergeCell ref="B25:Q25"/>
    <mergeCell ref="B15:B17"/>
    <mergeCell ref="B18:B20"/>
    <mergeCell ref="B21:C21"/>
    <mergeCell ref="B22:C22"/>
    <mergeCell ref="B23:C23"/>
    <mergeCell ref="B24:G24"/>
  </mergeCells>
  <pageMargins left="0.31496062992125984" right="0.31496062992125984" top="0.35433070866141736" bottom="0.15748031496062992" header="0.31496062992125984" footer="0.11811023622047245"/>
  <pageSetup paperSize="9" scale="41" orientation="landscape" r:id="rId1"/>
  <colBreaks count="1" manualBreakCount="1">
    <brk id="17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25"/>
  <sheetViews>
    <sheetView view="pageBreakPreview" topLeftCell="A9" zoomScale="60" zoomScaleNormal="100" workbookViewId="0">
      <selection activeCell="E16" sqref="E16"/>
    </sheetView>
  </sheetViews>
  <sheetFormatPr defaultRowHeight="23.25" x14ac:dyDescent="0.35"/>
  <cols>
    <col min="1" max="1" width="0.42578125" style="84" customWidth="1"/>
    <col min="2" max="2" width="22.28515625" style="84" customWidth="1"/>
    <col min="3" max="3" width="101" style="84" customWidth="1"/>
    <col min="4" max="4" width="6.28515625" style="85" customWidth="1"/>
    <col min="5" max="5" width="37.140625" style="86" customWidth="1"/>
    <col min="6" max="7" width="37.140625" style="85" customWidth="1"/>
    <col min="8" max="9" width="39.5703125" style="85" customWidth="1"/>
    <col min="10" max="10" width="0.140625" style="85" hidden="1" customWidth="1"/>
    <col min="11" max="11" width="3.5703125" style="85" hidden="1" customWidth="1"/>
    <col min="12" max="12" width="1.140625" style="85" customWidth="1"/>
    <col min="13" max="14" width="0.28515625" style="85" customWidth="1"/>
    <col min="15" max="15" width="0.7109375" style="84" customWidth="1"/>
    <col min="16" max="16" width="2.42578125" style="84" customWidth="1"/>
    <col min="17" max="17" width="23.42578125" style="84" customWidth="1"/>
    <col min="18" max="18" width="17" style="84" customWidth="1"/>
    <col min="19" max="19" width="9.140625" style="84"/>
    <col min="20" max="20" width="17.5703125" style="84" customWidth="1"/>
    <col min="21" max="16384" width="9.140625" style="84"/>
  </cols>
  <sheetData>
    <row r="1" spans="2:19" ht="63.75" customHeight="1" x14ac:dyDescent="0.35">
      <c r="B1" s="217" t="s">
        <v>9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</row>
    <row r="2" spans="2:19" ht="6.75" customHeight="1" x14ac:dyDescent="0.35">
      <c r="O2" s="163"/>
      <c r="P2" s="161"/>
    </row>
    <row r="3" spans="2:19" ht="72.75" customHeight="1" x14ac:dyDescent="0.35">
      <c r="B3" s="219" t="s">
        <v>11</v>
      </c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</row>
    <row r="4" spans="2:19" s="89" customFormat="1" ht="112.5" customHeight="1" x14ac:dyDescent="0.35">
      <c r="B4" s="194" t="s">
        <v>72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</row>
    <row r="5" spans="2:19" ht="4.5" hidden="1" customHeight="1" x14ac:dyDescent="0.35">
      <c r="C5" s="160"/>
      <c r="D5" s="91"/>
      <c r="E5" s="92"/>
      <c r="F5" s="91"/>
      <c r="G5" s="91"/>
      <c r="H5" s="91"/>
      <c r="I5" s="91"/>
      <c r="J5" s="91"/>
      <c r="K5" s="91"/>
      <c r="L5" s="91"/>
      <c r="M5" s="91"/>
      <c r="N5" s="91"/>
      <c r="O5" s="93"/>
      <c r="P5" s="93"/>
    </row>
    <row r="6" spans="2:19" ht="38.25" customHeight="1" x14ac:dyDescent="0.35">
      <c r="B6" s="222" t="s">
        <v>12</v>
      </c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</row>
    <row r="7" spans="2:19" ht="9.75" customHeight="1" x14ac:dyDescent="0.35">
      <c r="C7" s="164"/>
      <c r="D7" s="164"/>
      <c r="E7" s="95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</row>
    <row r="8" spans="2:19" s="99" customFormat="1" ht="25.5" customHeight="1" x14ac:dyDescent="0.25">
      <c r="B8" s="215" t="s">
        <v>6</v>
      </c>
      <c r="C8" s="223"/>
      <c r="D8" s="96">
        <v>1</v>
      </c>
      <c r="E8" s="97">
        <v>1</v>
      </c>
      <c r="F8" s="96">
        <v>2</v>
      </c>
      <c r="G8" s="97">
        <v>3</v>
      </c>
      <c r="H8" s="96">
        <v>4</v>
      </c>
      <c r="I8" s="97">
        <v>5</v>
      </c>
      <c r="J8" s="98"/>
      <c r="K8" s="98"/>
      <c r="L8" s="98"/>
      <c r="M8" s="98"/>
      <c r="N8" s="98"/>
      <c r="O8" s="98"/>
      <c r="P8" s="91"/>
    </row>
    <row r="9" spans="2:19" ht="20.25" customHeight="1" x14ac:dyDescent="0.35">
      <c r="B9" s="215" t="s">
        <v>8</v>
      </c>
      <c r="C9" s="216"/>
      <c r="D9" s="100">
        <v>2</v>
      </c>
      <c r="E9" s="101"/>
      <c r="F9" s="100"/>
      <c r="G9" s="100"/>
      <c r="H9" s="100"/>
      <c r="I9" s="100"/>
      <c r="J9" s="102"/>
      <c r="K9" s="102"/>
      <c r="L9" s="102"/>
      <c r="M9" s="102"/>
      <c r="N9" s="102"/>
      <c r="O9" s="160"/>
      <c r="P9" s="160"/>
      <c r="Q9" s="89"/>
      <c r="R9" s="89"/>
      <c r="S9" s="89"/>
    </row>
    <row r="10" spans="2:19" ht="35.25" customHeight="1" x14ac:dyDescent="0.35">
      <c r="B10" s="215" t="s">
        <v>23</v>
      </c>
      <c r="C10" s="216"/>
      <c r="D10" s="96">
        <v>3</v>
      </c>
      <c r="E10" s="172" t="s">
        <v>22</v>
      </c>
      <c r="F10" s="187" t="s">
        <v>24</v>
      </c>
      <c r="G10" s="187" t="s">
        <v>25</v>
      </c>
      <c r="H10" s="188" t="s">
        <v>26</v>
      </c>
      <c r="I10" s="188" t="s">
        <v>34</v>
      </c>
      <c r="J10" s="98"/>
      <c r="K10" s="98"/>
      <c r="L10" s="98"/>
      <c r="M10" s="98"/>
      <c r="N10" s="98"/>
      <c r="O10" s="160"/>
      <c r="P10" s="160"/>
      <c r="Q10" s="89"/>
      <c r="R10" s="89"/>
      <c r="S10" s="89"/>
    </row>
    <row r="11" spans="2:19" ht="20.25" customHeight="1" x14ac:dyDescent="0.4">
      <c r="B11" s="215" t="s">
        <v>0</v>
      </c>
      <c r="C11" s="216"/>
      <c r="D11" s="100">
        <v>4</v>
      </c>
      <c r="E11" s="185">
        <v>23742.7</v>
      </c>
      <c r="F11" s="185">
        <v>21470.6</v>
      </c>
      <c r="G11" s="185">
        <v>25503.8</v>
      </c>
      <c r="H11" s="185">
        <v>20486.599999999999</v>
      </c>
      <c r="I11" s="185">
        <v>16460.2</v>
      </c>
      <c r="J11" s="171"/>
      <c r="K11" s="171"/>
      <c r="L11" s="171"/>
      <c r="M11" s="171"/>
      <c r="N11" s="171"/>
      <c r="O11" s="170"/>
      <c r="P11" s="170"/>
      <c r="Q11" s="186">
        <f>E11+F11+G11+H11+I11</f>
        <v>107663.90000000001</v>
      </c>
      <c r="R11" s="89"/>
      <c r="S11" s="89"/>
    </row>
    <row r="12" spans="2:19" ht="50.25" customHeight="1" x14ac:dyDescent="0.35">
      <c r="B12" s="215" t="s">
        <v>1</v>
      </c>
      <c r="C12" s="216"/>
      <c r="D12" s="96">
        <v>5</v>
      </c>
      <c r="E12" s="101" t="s">
        <v>27</v>
      </c>
      <c r="F12" s="101" t="s">
        <v>27</v>
      </c>
      <c r="G12" s="101" t="s">
        <v>27</v>
      </c>
      <c r="H12" s="101" t="s">
        <v>27</v>
      </c>
      <c r="I12" s="101" t="s">
        <v>27</v>
      </c>
      <c r="J12" s="102"/>
      <c r="K12" s="102"/>
      <c r="L12" s="102"/>
      <c r="M12" s="102"/>
      <c r="N12" s="102"/>
      <c r="O12" s="160"/>
      <c r="P12" s="160"/>
      <c r="Q12" s="89"/>
      <c r="R12" s="89"/>
      <c r="S12" s="89"/>
    </row>
    <row r="13" spans="2:19" ht="21" customHeight="1" x14ac:dyDescent="0.35">
      <c r="B13" s="215" t="s">
        <v>2</v>
      </c>
      <c r="C13" s="216"/>
      <c r="D13" s="100">
        <v>6</v>
      </c>
      <c r="E13" s="224" t="s">
        <v>28</v>
      </c>
      <c r="F13" s="225"/>
      <c r="G13" s="225"/>
      <c r="H13" s="225"/>
      <c r="I13" s="226"/>
      <c r="J13" s="98"/>
      <c r="K13" s="98"/>
      <c r="L13" s="98"/>
      <c r="M13" s="98"/>
      <c r="N13" s="98"/>
      <c r="O13" s="160"/>
      <c r="P13" s="160"/>
      <c r="Q13" s="89"/>
      <c r="R13" s="89"/>
      <c r="S13" s="89"/>
    </row>
    <row r="14" spans="2:19" ht="20.25" customHeight="1" x14ac:dyDescent="0.35">
      <c r="B14" s="215" t="s">
        <v>3</v>
      </c>
      <c r="C14" s="216"/>
      <c r="D14" s="96">
        <v>7</v>
      </c>
      <c r="E14" s="107" t="s">
        <v>29</v>
      </c>
      <c r="F14" s="107" t="s">
        <v>30</v>
      </c>
      <c r="G14" s="107" t="s">
        <v>31</v>
      </c>
      <c r="H14" s="107" t="s">
        <v>32</v>
      </c>
      <c r="I14" s="107" t="s">
        <v>33</v>
      </c>
      <c r="J14" s="98"/>
      <c r="K14" s="98"/>
      <c r="L14" s="98"/>
      <c r="M14" s="98"/>
      <c r="N14" s="98"/>
      <c r="O14" s="160"/>
      <c r="P14" s="160"/>
      <c r="Q14" s="89"/>
      <c r="R14" s="89"/>
      <c r="S14" s="89"/>
    </row>
    <row r="15" spans="2:19" ht="48.75" customHeight="1" x14ac:dyDescent="0.4">
      <c r="B15" s="228" t="s">
        <v>15</v>
      </c>
      <c r="C15" s="162" t="s">
        <v>35</v>
      </c>
      <c r="D15" s="100">
        <v>8</v>
      </c>
      <c r="E15" s="173">
        <f>E11*6.52/1000</f>
        <v>154.80240399999997</v>
      </c>
      <c r="F15" s="173">
        <f>F11*6.52/1000</f>
        <v>139.98831199999998</v>
      </c>
      <c r="G15" s="173">
        <f>G11*6.52/1000</f>
        <v>166.28477599999999</v>
      </c>
      <c r="H15" s="173">
        <f>H11*6.52/1000</f>
        <v>133.57263199999997</v>
      </c>
      <c r="I15" s="173">
        <f>I11*6.52/1000</f>
        <v>107.320504</v>
      </c>
      <c r="J15" s="174"/>
      <c r="K15" s="174"/>
      <c r="L15" s="174"/>
      <c r="M15" s="174"/>
      <c r="N15" s="174"/>
      <c r="O15" s="175"/>
      <c r="P15" s="175"/>
      <c r="Q15" s="176">
        <f>SUM(E15:I15)</f>
        <v>701.96862799999997</v>
      </c>
      <c r="R15" s="89"/>
      <c r="S15" s="89"/>
    </row>
    <row r="16" spans="2:19" ht="48.75" customHeight="1" x14ac:dyDescent="0.4">
      <c r="B16" s="229"/>
      <c r="C16" s="162" t="s">
        <v>36</v>
      </c>
      <c r="D16" s="96">
        <v>9</v>
      </c>
      <c r="E16" s="177">
        <f>E19-'ИЮЛЬ 2019'!E19</f>
        <v>189.39933000000019</v>
      </c>
      <c r="F16" s="177">
        <f>F19-'ИЮЛЬ 2019'!F19</f>
        <v>119.69580999999926</v>
      </c>
      <c r="G16" s="177">
        <f>G19-'ИЮЛЬ 2019'!G19</f>
        <v>175.29388000000017</v>
      </c>
      <c r="H16" s="177">
        <f>H19-'ИЮЛЬ 2019'!H19</f>
        <v>132.92858000000069</v>
      </c>
      <c r="I16" s="177">
        <f>I19-'ИЮЛЬ 2019'!I19</f>
        <v>115.28375000000051</v>
      </c>
      <c r="J16" s="178"/>
      <c r="K16" s="178"/>
      <c r="L16" s="178"/>
      <c r="M16" s="178"/>
      <c r="N16" s="178"/>
      <c r="O16" s="175"/>
      <c r="P16" s="175"/>
      <c r="Q16" s="179">
        <f>SUM(E16:I16)</f>
        <v>732.60135000000082</v>
      </c>
      <c r="R16" s="154">
        <f>100*Q16/Q15</f>
        <v>104.36383062976439</v>
      </c>
      <c r="S16" s="89"/>
    </row>
    <row r="17" spans="2:20" ht="67.5" customHeight="1" x14ac:dyDescent="0.4">
      <c r="B17" s="230"/>
      <c r="C17" s="113" t="s">
        <v>53</v>
      </c>
      <c r="D17" s="100">
        <v>10</v>
      </c>
      <c r="E17" s="177">
        <v>0</v>
      </c>
      <c r="F17" s="177">
        <v>0</v>
      </c>
      <c r="G17" s="177">
        <v>0</v>
      </c>
      <c r="H17" s="177">
        <v>0</v>
      </c>
      <c r="I17" s="177">
        <v>0</v>
      </c>
      <c r="J17" s="178"/>
      <c r="K17" s="178"/>
      <c r="L17" s="178"/>
      <c r="M17" s="178"/>
      <c r="N17" s="178"/>
      <c r="O17" s="175"/>
      <c r="P17" s="175"/>
      <c r="Q17" s="176">
        <f t="shared" ref="Q17:Q20" si="0">SUM(E17:I17)</f>
        <v>0</v>
      </c>
      <c r="R17" s="89"/>
      <c r="S17" s="89"/>
    </row>
    <row r="18" spans="2:20" ht="48.75" customHeight="1" x14ac:dyDescent="0.4">
      <c r="B18" s="231" t="s">
        <v>16</v>
      </c>
      <c r="C18" s="162" t="s">
        <v>35</v>
      </c>
      <c r="D18" s="96">
        <v>11</v>
      </c>
      <c r="E18" s="177">
        <f>(E11*(5.84*23+6.27*24+6.52*14))/1000</f>
        <v>8929.154615999998</v>
      </c>
      <c r="F18" s="177">
        <f t="shared" ref="F18:I18" si="1">(F11*(5.84*23+6.27*24+6.52*14))/1000</f>
        <v>8074.663247999998</v>
      </c>
      <c r="G18" s="177">
        <f t="shared" si="1"/>
        <v>9591.469103999998</v>
      </c>
      <c r="H18" s="177">
        <f t="shared" si="1"/>
        <v>7704.6005279999981</v>
      </c>
      <c r="I18" s="177">
        <f t="shared" si="1"/>
        <v>6190.3520159999989</v>
      </c>
      <c r="J18" s="178"/>
      <c r="K18" s="178"/>
      <c r="L18" s="178"/>
      <c r="M18" s="178"/>
      <c r="N18" s="178"/>
      <c r="O18" s="175"/>
      <c r="P18" s="175"/>
      <c r="Q18" s="176">
        <f t="shared" si="0"/>
        <v>40490.239511999986</v>
      </c>
      <c r="R18" s="89"/>
      <c r="S18" s="89"/>
      <c r="T18" s="84" t="s">
        <v>45</v>
      </c>
    </row>
    <row r="19" spans="2:20" ht="46.5" x14ac:dyDescent="0.4">
      <c r="B19" s="232"/>
      <c r="C19" s="162" t="s">
        <v>36</v>
      </c>
      <c r="D19" s="100">
        <v>12</v>
      </c>
      <c r="E19" s="180">
        <f>7329359.33/1000</f>
        <v>7329.3593300000002</v>
      </c>
      <c r="F19" s="180">
        <f>6246945.81/1000</f>
        <v>6246.9458099999993</v>
      </c>
      <c r="G19" s="180">
        <f>7890793.88/1000</f>
        <v>7890.7938800000002</v>
      </c>
      <c r="H19" s="180">
        <f>6212328.58/1000</f>
        <v>6212.3285800000003</v>
      </c>
      <c r="I19" s="180">
        <f>5067063.75/1000</f>
        <v>5067.0637500000003</v>
      </c>
      <c r="J19" s="174"/>
      <c r="K19" s="174"/>
      <c r="L19" s="174"/>
      <c r="M19" s="174"/>
      <c r="N19" s="174"/>
      <c r="O19" s="175"/>
      <c r="P19" s="175"/>
      <c r="Q19" s="176">
        <f t="shared" si="0"/>
        <v>32746.491350000004</v>
      </c>
      <c r="R19" s="89"/>
      <c r="S19" s="89"/>
      <c r="T19" s="112">
        <f>Q19-'ИЮНЬ 2019'!Q19</f>
        <v>1410.7183500000028</v>
      </c>
    </row>
    <row r="20" spans="2:20" ht="52.5" customHeight="1" x14ac:dyDescent="0.4">
      <c r="B20" s="232"/>
      <c r="C20" s="113" t="s">
        <v>63</v>
      </c>
      <c r="D20" s="96">
        <v>13</v>
      </c>
      <c r="E20" s="181">
        <v>0</v>
      </c>
      <c r="F20" s="181">
        <v>0</v>
      </c>
      <c r="G20" s="181">
        <v>0</v>
      </c>
      <c r="H20" s="181">
        <v>0</v>
      </c>
      <c r="I20" s="181">
        <v>0</v>
      </c>
      <c r="J20" s="178"/>
      <c r="K20" s="178"/>
      <c r="L20" s="178"/>
      <c r="M20" s="178"/>
      <c r="N20" s="178"/>
      <c r="O20" s="175"/>
      <c r="P20" s="175"/>
      <c r="Q20" s="176">
        <f t="shared" si="0"/>
        <v>0</v>
      </c>
      <c r="R20" s="89"/>
      <c r="S20" s="89"/>
    </row>
    <row r="21" spans="2:20" ht="41.25" customHeight="1" x14ac:dyDescent="0.4">
      <c r="B21" s="215" t="s">
        <v>17</v>
      </c>
      <c r="C21" s="223"/>
      <c r="D21" s="100">
        <v>14</v>
      </c>
      <c r="E21" s="182">
        <f>E19-E20</f>
        <v>7329.3593300000002</v>
      </c>
      <c r="F21" s="182">
        <f t="shared" ref="F21:I21" si="2">F19-F20</f>
        <v>6246.9458099999993</v>
      </c>
      <c r="G21" s="182">
        <f t="shared" si="2"/>
        <v>7890.7938800000002</v>
      </c>
      <c r="H21" s="182">
        <f t="shared" si="2"/>
        <v>6212.3285800000003</v>
      </c>
      <c r="I21" s="182">
        <f t="shared" si="2"/>
        <v>5067.0637500000003</v>
      </c>
      <c r="J21" s="178"/>
      <c r="K21" s="178"/>
      <c r="L21" s="178"/>
      <c r="M21" s="178"/>
      <c r="N21" s="178"/>
      <c r="O21" s="175"/>
      <c r="P21" s="175"/>
      <c r="Q21" s="176">
        <f>SUM(E21:I21)</f>
        <v>32746.491350000004</v>
      </c>
      <c r="R21" s="89"/>
      <c r="S21" s="89"/>
    </row>
    <row r="22" spans="2:20" ht="43.5" customHeight="1" x14ac:dyDescent="0.4">
      <c r="B22" s="215" t="s">
        <v>4</v>
      </c>
      <c r="C22" s="216"/>
      <c r="D22" s="96">
        <v>15</v>
      </c>
      <c r="E22" s="183">
        <f>(1-E19/E18)*100</f>
        <v>17.91653694889942</v>
      </c>
      <c r="F22" s="183">
        <f t="shared" ref="F22:I22" si="3">(1-F19/F18)*100</f>
        <v>22.635215635187055</v>
      </c>
      <c r="G22" s="183">
        <f t="shared" si="3"/>
        <v>17.731123413521221</v>
      </c>
      <c r="H22" s="183">
        <f t="shared" si="3"/>
        <v>19.368582998908181</v>
      </c>
      <c r="I22" s="183">
        <f t="shared" si="3"/>
        <v>18.145789820945112</v>
      </c>
      <c r="J22" s="178"/>
      <c r="K22" s="178"/>
      <c r="L22" s="178"/>
      <c r="M22" s="178"/>
      <c r="N22" s="178"/>
      <c r="O22" s="184"/>
      <c r="P22" s="184"/>
      <c r="Q22" s="183">
        <f>(1-Q19/Q18)*100</f>
        <v>19.124974945393902</v>
      </c>
      <c r="R22" s="142">
        <f>Q21/Q18</f>
        <v>0.80875025054606098</v>
      </c>
    </row>
    <row r="23" spans="2:20" ht="43.5" customHeight="1" x14ac:dyDescent="0.35">
      <c r="B23" s="215" t="s">
        <v>5</v>
      </c>
      <c r="C23" s="216"/>
      <c r="D23" s="100">
        <v>16</v>
      </c>
      <c r="E23" s="103" t="s">
        <v>20</v>
      </c>
      <c r="F23" s="103" t="s">
        <v>20</v>
      </c>
      <c r="G23" s="103" t="s">
        <v>20</v>
      </c>
      <c r="H23" s="103" t="s">
        <v>20</v>
      </c>
      <c r="I23" s="103" t="s">
        <v>20</v>
      </c>
      <c r="J23" s="98"/>
      <c r="K23" s="98"/>
      <c r="L23" s="98"/>
      <c r="M23" s="98"/>
      <c r="N23" s="98"/>
      <c r="R23" s="143">
        <f>100*R22+Q22</f>
        <v>100</v>
      </c>
    </row>
    <row r="24" spans="2:20" ht="240" customHeight="1" x14ac:dyDescent="0.35">
      <c r="B24" s="233" t="s">
        <v>40</v>
      </c>
      <c r="C24" s="234"/>
      <c r="D24" s="234"/>
      <c r="E24" s="234"/>
      <c r="F24" s="234"/>
      <c r="G24" s="235"/>
      <c r="H24" s="238" t="s">
        <v>73</v>
      </c>
      <c r="I24" s="238"/>
    </row>
    <row r="25" spans="2:20" ht="84.75" customHeight="1" x14ac:dyDescent="0.4">
      <c r="B25" s="236" t="s">
        <v>47</v>
      </c>
      <c r="C25" s="237"/>
      <c r="D25" s="237"/>
      <c r="E25" s="237"/>
      <c r="F25" s="237"/>
      <c r="G25" s="237"/>
      <c r="H25" s="237"/>
      <c r="I25" s="237"/>
      <c r="J25" s="237"/>
      <c r="K25" s="237"/>
      <c r="L25" s="237"/>
      <c r="M25" s="237"/>
      <c r="N25" s="237"/>
      <c r="O25" s="237"/>
      <c r="P25" s="237"/>
      <c r="Q25" s="237"/>
    </row>
  </sheetData>
  <mergeCells count="20">
    <mergeCell ref="B25:Q25"/>
    <mergeCell ref="B15:B17"/>
    <mergeCell ref="B18:B20"/>
    <mergeCell ref="B21:C21"/>
    <mergeCell ref="B22:C22"/>
    <mergeCell ref="B23:C23"/>
    <mergeCell ref="B24:G24"/>
    <mergeCell ref="H24:I24"/>
    <mergeCell ref="B14:C14"/>
    <mergeCell ref="B1:P1"/>
    <mergeCell ref="B3:P3"/>
    <mergeCell ref="B4:P4"/>
    <mergeCell ref="B6:P6"/>
    <mergeCell ref="B8:C8"/>
    <mergeCell ref="B9:C9"/>
    <mergeCell ref="B10:C10"/>
    <mergeCell ref="B11:C11"/>
    <mergeCell ref="B12:C12"/>
    <mergeCell ref="B13:C13"/>
    <mergeCell ref="E13:I13"/>
  </mergeCells>
  <pageMargins left="0.23622047244094491" right="0.23622047244094491" top="0.35433070866141736" bottom="0.35433070866141736" header="0.11811023622047245" footer="0.11811023622047245"/>
  <pageSetup paperSize="9" scale="41" orientation="landscape" r:id="rId1"/>
  <colBreaks count="1" manualBreakCount="1">
    <brk id="17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25"/>
  <sheetViews>
    <sheetView tabSelected="1" view="pageBreakPreview" topLeftCell="A10" zoomScale="50" zoomScaleNormal="100" zoomScaleSheetLayoutView="50" workbookViewId="0">
      <selection activeCell="T17" sqref="T17"/>
    </sheetView>
  </sheetViews>
  <sheetFormatPr defaultRowHeight="23.25" x14ac:dyDescent="0.35"/>
  <cols>
    <col min="1" max="1" width="0.42578125" style="84" customWidth="1"/>
    <col min="2" max="2" width="22.28515625" style="84" customWidth="1"/>
    <col min="3" max="3" width="101" style="84" customWidth="1"/>
    <col min="4" max="4" width="6.28515625" style="85" customWidth="1"/>
    <col min="5" max="5" width="37.140625" style="86" customWidth="1"/>
    <col min="6" max="7" width="37.140625" style="85" customWidth="1"/>
    <col min="8" max="9" width="39.5703125" style="85" customWidth="1"/>
    <col min="10" max="10" width="0.140625" style="85" hidden="1" customWidth="1"/>
    <col min="11" max="11" width="3.5703125" style="85" hidden="1" customWidth="1"/>
    <col min="12" max="12" width="1.140625" style="85" customWidth="1"/>
    <col min="13" max="14" width="0.28515625" style="85" customWidth="1"/>
    <col min="15" max="15" width="0.7109375" style="84" customWidth="1"/>
    <col min="16" max="16" width="2.42578125" style="84" customWidth="1"/>
    <col min="17" max="17" width="23.42578125" style="84" customWidth="1"/>
    <col min="18" max="18" width="17" style="84" customWidth="1"/>
    <col min="19" max="19" width="9.140625" style="84"/>
    <col min="20" max="20" width="17.5703125" style="84" customWidth="1"/>
    <col min="21" max="16384" width="9.140625" style="84"/>
  </cols>
  <sheetData>
    <row r="1" spans="2:19" ht="63.75" customHeight="1" x14ac:dyDescent="0.35">
      <c r="B1" s="217" t="s">
        <v>9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</row>
    <row r="2" spans="2:19" ht="6.75" customHeight="1" x14ac:dyDescent="0.35">
      <c r="O2" s="168"/>
      <c r="P2" s="166"/>
    </row>
    <row r="3" spans="2:19" ht="72.75" customHeight="1" x14ac:dyDescent="0.35">
      <c r="B3" s="219" t="s">
        <v>11</v>
      </c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</row>
    <row r="4" spans="2:19" s="89" customFormat="1" ht="112.5" customHeight="1" x14ac:dyDescent="0.35">
      <c r="B4" s="194" t="s">
        <v>74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</row>
    <row r="5" spans="2:19" ht="4.5" hidden="1" customHeight="1" x14ac:dyDescent="0.35">
      <c r="C5" s="165"/>
      <c r="D5" s="91"/>
      <c r="E5" s="92"/>
      <c r="F5" s="91"/>
      <c r="G5" s="91"/>
      <c r="H5" s="91"/>
      <c r="I5" s="91"/>
      <c r="J5" s="91"/>
      <c r="K5" s="91"/>
      <c r="L5" s="91"/>
      <c r="M5" s="91"/>
      <c r="N5" s="91"/>
      <c r="O5" s="93"/>
      <c r="P5" s="93"/>
    </row>
    <row r="6" spans="2:19" ht="38.25" customHeight="1" x14ac:dyDescent="0.35">
      <c r="B6" s="222" t="s">
        <v>12</v>
      </c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</row>
    <row r="7" spans="2:19" ht="9.75" customHeight="1" x14ac:dyDescent="0.35">
      <c r="C7" s="169"/>
      <c r="D7" s="169"/>
      <c r="E7" s="95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</row>
    <row r="8" spans="2:19" s="99" customFormat="1" ht="25.5" customHeight="1" x14ac:dyDescent="0.25">
      <c r="B8" s="215" t="s">
        <v>6</v>
      </c>
      <c r="C8" s="223"/>
      <c r="D8" s="96">
        <v>1</v>
      </c>
      <c r="E8" s="97">
        <v>1</v>
      </c>
      <c r="F8" s="96">
        <v>2</v>
      </c>
      <c r="G8" s="97">
        <v>3</v>
      </c>
      <c r="H8" s="96">
        <v>4</v>
      </c>
      <c r="I8" s="97">
        <v>5</v>
      </c>
      <c r="J8" s="98"/>
      <c r="K8" s="98"/>
      <c r="L8" s="98"/>
      <c r="M8" s="98"/>
      <c r="N8" s="98"/>
      <c r="O8" s="98"/>
      <c r="P8" s="91"/>
    </row>
    <row r="9" spans="2:19" ht="20.25" customHeight="1" x14ac:dyDescent="0.35">
      <c r="B9" s="215" t="s">
        <v>8</v>
      </c>
      <c r="C9" s="216"/>
      <c r="D9" s="100">
        <v>2</v>
      </c>
      <c r="E9" s="101"/>
      <c r="F9" s="100"/>
      <c r="G9" s="100"/>
      <c r="H9" s="100"/>
      <c r="I9" s="100"/>
      <c r="J9" s="102"/>
      <c r="K9" s="102"/>
      <c r="L9" s="102"/>
      <c r="M9" s="102"/>
      <c r="N9" s="102"/>
      <c r="O9" s="165"/>
      <c r="P9" s="165"/>
      <c r="Q9" s="89"/>
      <c r="R9" s="89"/>
      <c r="S9" s="89"/>
    </row>
    <row r="10" spans="2:19" ht="35.25" customHeight="1" x14ac:dyDescent="0.35">
      <c r="B10" s="215" t="s">
        <v>23</v>
      </c>
      <c r="C10" s="216"/>
      <c r="D10" s="96">
        <v>3</v>
      </c>
      <c r="E10" s="172" t="s">
        <v>22</v>
      </c>
      <c r="F10" s="187" t="s">
        <v>24</v>
      </c>
      <c r="G10" s="187" t="s">
        <v>25</v>
      </c>
      <c r="H10" s="188" t="s">
        <v>26</v>
      </c>
      <c r="I10" s="188" t="s">
        <v>34</v>
      </c>
      <c r="J10" s="98"/>
      <c r="K10" s="98"/>
      <c r="L10" s="98"/>
      <c r="M10" s="98"/>
      <c r="N10" s="98"/>
      <c r="O10" s="165"/>
      <c r="P10" s="165"/>
      <c r="Q10" s="89"/>
      <c r="R10" s="89"/>
      <c r="S10" s="89"/>
    </row>
    <row r="11" spans="2:19" ht="20.25" customHeight="1" x14ac:dyDescent="0.4">
      <c r="B11" s="215" t="s">
        <v>0</v>
      </c>
      <c r="C11" s="216"/>
      <c r="D11" s="100">
        <v>4</v>
      </c>
      <c r="E11" s="185">
        <v>23742.7</v>
      </c>
      <c r="F11" s="185">
        <v>21470.6</v>
      </c>
      <c r="G11" s="185">
        <v>25503.8</v>
      </c>
      <c r="H11" s="185">
        <v>20486.599999999999</v>
      </c>
      <c r="I11" s="185">
        <v>16460.2</v>
      </c>
      <c r="J11" s="171"/>
      <c r="K11" s="171"/>
      <c r="L11" s="171"/>
      <c r="M11" s="171"/>
      <c r="N11" s="171"/>
      <c r="O11" s="170"/>
      <c r="P11" s="170"/>
      <c r="Q11" s="186">
        <f>E11+F11+G11+H11+I11</f>
        <v>107663.90000000001</v>
      </c>
      <c r="R11" s="89"/>
      <c r="S11" s="89"/>
    </row>
    <row r="12" spans="2:19" ht="50.25" customHeight="1" x14ac:dyDescent="0.35">
      <c r="B12" s="215" t="s">
        <v>1</v>
      </c>
      <c r="C12" s="216"/>
      <c r="D12" s="96">
        <v>5</v>
      </c>
      <c r="E12" s="101" t="s">
        <v>27</v>
      </c>
      <c r="F12" s="101" t="s">
        <v>27</v>
      </c>
      <c r="G12" s="101" t="s">
        <v>27</v>
      </c>
      <c r="H12" s="101" t="s">
        <v>27</v>
      </c>
      <c r="I12" s="101" t="s">
        <v>27</v>
      </c>
      <c r="J12" s="102"/>
      <c r="K12" s="102"/>
      <c r="L12" s="102"/>
      <c r="M12" s="102"/>
      <c r="N12" s="102"/>
      <c r="O12" s="165"/>
      <c r="P12" s="165"/>
      <c r="Q12" s="89"/>
      <c r="R12" s="89"/>
      <c r="S12" s="89"/>
    </row>
    <row r="13" spans="2:19" ht="21" customHeight="1" x14ac:dyDescent="0.35">
      <c r="B13" s="215" t="s">
        <v>2</v>
      </c>
      <c r="C13" s="216"/>
      <c r="D13" s="100">
        <v>6</v>
      </c>
      <c r="E13" s="224" t="s">
        <v>28</v>
      </c>
      <c r="F13" s="225"/>
      <c r="G13" s="225"/>
      <c r="H13" s="225"/>
      <c r="I13" s="226"/>
      <c r="J13" s="98"/>
      <c r="K13" s="98"/>
      <c r="L13" s="98"/>
      <c r="M13" s="98"/>
      <c r="N13" s="98"/>
      <c r="O13" s="165"/>
      <c r="P13" s="165"/>
      <c r="Q13" s="89"/>
      <c r="R13" s="89"/>
      <c r="S13" s="89"/>
    </row>
    <row r="14" spans="2:19" ht="20.25" customHeight="1" x14ac:dyDescent="0.35">
      <c r="B14" s="215" t="s">
        <v>3</v>
      </c>
      <c r="C14" s="216"/>
      <c r="D14" s="96">
        <v>7</v>
      </c>
      <c r="E14" s="107" t="s">
        <v>29</v>
      </c>
      <c r="F14" s="107" t="s">
        <v>30</v>
      </c>
      <c r="G14" s="107" t="s">
        <v>31</v>
      </c>
      <c r="H14" s="107" t="s">
        <v>32</v>
      </c>
      <c r="I14" s="107" t="s">
        <v>33</v>
      </c>
      <c r="J14" s="98"/>
      <c r="K14" s="98"/>
      <c r="L14" s="98"/>
      <c r="M14" s="98"/>
      <c r="N14" s="98"/>
      <c r="O14" s="165"/>
      <c r="P14" s="165"/>
      <c r="Q14" s="89"/>
      <c r="R14" s="89"/>
      <c r="S14" s="89"/>
    </row>
    <row r="15" spans="2:19" ht="48.75" customHeight="1" x14ac:dyDescent="0.4">
      <c r="B15" s="228" t="s">
        <v>15</v>
      </c>
      <c r="C15" s="167" t="s">
        <v>35</v>
      </c>
      <c r="D15" s="100">
        <v>8</v>
      </c>
      <c r="E15" s="173">
        <f>E11*6.52/1000</f>
        <v>154.80240399999997</v>
      </c>
      <c r="F15" s="173">
        <f>F11*6.52/1000</f>
        <v>139.98831199999998</v>
      </c>
      <c r="G15" s="173">
        <f>G11*6.52/1000</f>
        <v>166.28477599999999</v>
      </c>
      <c r="H15" s="173">
        <f>H11*6.52/1000</f>
        <v>133.57263199999997</v>
      </c>
      <c r="I15" s="173">
        <f>I11*6.52/1000</f>
        <v>107.320504</v>
      </c>
      <c r="J15" s="174"/>
      <c r="K15" s="174"/>
      <c r="L15" s="174"/>
      <c r="M15" s="174"/>
      <c r="N15" s="174"/>
      <c r="O15" s="175"/>
      <c r="P15" s="175"/>
      <c r="Q15" s="176">
        <f>SUM(E15:I15)</f>
        <v>701.96862799999997</v>
      </c>
      <c r="R15" s="89"/>
      <c r="S15" s="89"/>
    </row>
    <row r="16" spans="2:19" ht="48.75" customHeight="1" x14ac:dyDescent="0.4">
      <c r="B16" s="229"/>
      <c r="C16" s="167" t="s">
        <v>36</v>
      </c>
      <c r="D16" s="96">
        <v>9</v>
      </c>
      <c r="E16" s="177">
        <f>E19-'АВГ 2019'!E19</f>
        <v>125.81596999999965</v>
      </c>
      <c r="F16" s="177">
        <f>F19-'АВГ 2019'!F19</f>
        <v>141.34013000000141</v>
      </c>
      <c r="G16" s="177">
        <f>G19-'АВГ 2019'!G19</f>
        <v>155.6010499999993</v>
      </c>
      <c r="H16" s="177">
        <f>H19-'АВГ 2019'!H19</f>
        <v>107.52342999999928</v>
      </c>
      <c r="I16" s="177">
        <f>I19-'АВГ 2019'!I19</f>
        <v>99.605031000000054</v>
      </c>
      <c r="J16" s="178"/>
      <c r="K16" s="178"/>
      <c r="L16" s="178"/>
      <c r="M16" s="178"/>
      <c r="N16" s="178"/>
      <c r="O16" s="175"/>
      <c r="P16" s="175"/>
      <c r="Q16" s="179">
        <f>SUM(E16:I16)</f>
        <v>629.8856109999997</v>
      </c>
      <c r="R16" s="154">
        <f>100*Q16/Q15</f>
        <v>89.731305057695508</v>
      </c>
      <c r="S16" s="89"/>
    </row>
    <row r="17" spans="2:20" ht="67.5" customHeight="1" x14ac:dyDescent="0.4">
      <c r="B17" s="230"/>
      <c r="C17" s="113" t="s">
        <v>53</v>
      </c>
      <c r="D17" s="100">
        <v>10</v>
      </c>
      <c r="E17" s="177">
        <v>0</v>
      </c>
      <c r="F17" s="177">
        <v>0</v>
      </c>
      <c r="G17" s="177">
        <v>0</v>
      </c>
      <c r="H17" s="177">
        <v>0</v>
      </c>
      <c r="I17" s="177">
        <v>0</v>
      </c>
      <c r="J17" s="178"/>
      <c r="K17" s="178"/>
      <c r="L17" s="178"/>
      <c r="M17" s="178"/>
      <c r="N17" s="178"/>
      <c r="O17" s="175"/>
      <c r="P17" s="175"/>
      <c r="Q17" s="176">
        <f t="shared" ref="Q17:Q20" si="0">SUM(E17:I17)</f>
        <v>0</v>
      </c>
      <c r="R17" s="89"/>
      <c r="S17" s="89"/>
    </row>
    <row r="18" spans="2:20" ht="48.75" customHeight="1" x14ac:dyDescent="0.4">
      <c r="B18" s="231" t="s">
        <v>16</v>
      </c>
      <c r="C18" s="167" t="s">
        <v>35</v>
      </c>
      <c r="D18" s="96">
        <v>11</v>
      </c>
      <c r="E18" s="177">
        <f>(E11*(5.84*23+6.27*24+6.52*15))/1000</f>
        <v>9083.9570199999998</v>
      </c>
      <c r="F18" s="177">
        <f t="shared" ref="F18:I18" si="1">(F11*(5.84*23+6.27*24+6.52*15))/1000</f>
        <v>8214.6515599999984</v>
      </c>
      <c r="G18" s="177">
        <f t="shared" si="1"/>
        <v>9757.7538799999984</v>
      </c>
      <c r="H18" s="177">
        <f t="shared" si="1"/>
        <v>7838.1731599999985</v>
      </c>
      <c r="I18" s="177">
        <f t="shared" si="1"/>
        <v>6297.6725199999992</v>
      </c>
      <c r="J18" s="178"/>
      <c r="K18" s="178"/>
      <c r="L18" s="178"/>
      <c r="M18" s="178"/>
      <c r="N18" s="178"/>
      <c r="O18" s="175"/>
      <c r="P18" s="175"/>
      <c r="Q18" s="176">
        <f t="shared" si="0"/>
        <v>41192.208139999995</v>
      </c>
      <c r="R18" s="89"/>
      <c r="S18" s="89"/>
      <c r="T18" s="84" t="s">
        <v>45</v>
      </c>
    </row>
    <row r="19" spans="2:20" ht="46.5" x14ac:dyDescent="0.4">
      <c r="B19" s="232"/>
      <c r="C19" s="167" t="s">
        <v>36</v>
      </c>
      <c r="D19" s="100">
        <v>12</v>
      </c>
      <c r="E19" s="114">
        <f>7455175.3/1000</f>
        <v>7455.1752999999999</v>
      </c>
      <c r="F19" s="114">
        <f>6388285.94/1000</f>
        <v>6388.2859400000007</v>
      </c>
      <c r="G19" s="114">
        <f>8046394.93/1000</f>
        <v>8046.3949299999995</v>
      </c>
      <c r="H19" s="114">
        <f>6319852.01/1000</f>
        <v>6319.8520099999996</v>
      </c>
      <c r="I19" s="114">
        <f>5166668.781/1000</f>
        <v>5166.6687810000003</v>
      </c>
      <c r="J19" s="174"/>
      <c r="K19" s="174"/>
      <c r="L19" s="174"/>
      <c r="M19" s="174"/>
      <c r="N19" s="174"/>
      <c r="O19" s="175"/>
      <c r="P19" s="175"/>
      <c r="Q19" s="176">
        <f t="shared" si="0"/>
        <v>33376.376961000002</v>
      </c>
      <c r="R19" s="89"/>
      <c r="S19" s="89"/>
      <c r="T19" s="112">
        <f>Q19-'ИЮНЬ 2019'!Q19</f>
        <v>2040.6039610000007</v>
      </c>
    </row>
    <row r="20" spans="2:20" ht="52.5" customHeight="1" x14ac:dyDescent="0.4">
      <c r="B20" s="232"/>
      <c r="C20" s="113" t="s">
        <v>63</v>
      </c>
      <c r="D20" s="96">
        <v>13</v>
      </c>
      <c r="E20" s="181">
        <v>0</v>
      </c>
      <c r="F20" s="181">
        <v>0</v>
      </c>
      <c r="G20" s="181">
        <v>0</v>
      </c>
      <c r="H20" s="181">
        <v>0</v>
      </c>
      <c r="I20" s="181">
        <v>0</v>
      </c>
      <c r="J20" s="178"/>
      <c r="K20" s="178"/>
      <c r="L20" s="178"/>
      <c r="M20" s="178"/>
      <c r="N20" s="178"/>
      <c r="O20" s="175"/>
      <c r="P20" s="175"/>
      <c r="Q20" s="176">
        <f t="shared" si="0"/>
        <v>0</v>
      </c>
      <c r="R20" s="89"/>
      <c r="S20" s="89"/>
    </row>
    <row r="21" spans="2:20" ht="41.25" customHeight="1" x14ac:dyDescent="0.4">
      <c r="B21" s="215" t="s">
        <v>17</v>
      </c>
      <c r="C21" s="223"/>
      <c r="D21" s="100">
        <v>14</v>
      </c>
      <c r="E21" s="182">
        <f>E19-E20</f>
        <v>7455.1752999999999</v>
      </c>
      <c r="F21" s="182">
        <f t="shared" ref="F21:I21" si="2">F19-F20</f>
        <v>6388.2859400000007</v>
      </c>
      <c r="G21" s="182">
        <f t="shared" si="2"/>
        <v>8046.3949299999995</v>
      </c>
      <c r="H21" s="182">
        <f t="shared" si="2"/>
        <v>6319.8520099999996</v>
      </c>
      <c r="I21" s="182">
        <f t="shared" si="2"/>
        <v>5166.6687810000003</v>
      </c>
      <c r="J21" s="178"/>
      <c r="K21" s="178"/>
      <c r="L21" s="178"/>
      <c r="M21" s="178"/>
      <c r="N21" s="178"/>
      <c r="O21" s="175"/>
      <c r="P21" s="175"/>
      <c r="Q21" s="176">
        <f>SUM(E21:I21)</f>
        <v>33376.376961000002</v>
      </c>
      <c r="R21" s="89"/>
      <c r="S21" s="89"/>
    </row>
    <row r="22" spans="2:20" ht="43.5" customHeight="1" x14ac:dyDescent="0.4">
      <c r="B22" s="215" t="s">
        <v>4</v>
      </c>
      <c r="C22" s="216"/>
      <c r="D22" s="96">
        <v>15</v>
      </c>
      <c r="E22" s="183">
        <f>(1-E19/E18)*100</f>
        <v>17.930310727075639</v>
      </c>
      <c r="F22" s="183">
        <f t="shared" ref="F22:I22" si="3">(1-F19/F18)*100</f>
        <v>22.233026034764624</v>
      </c>
      <c r="G22" s="183">
        <f t="shared" si="3"/>
        <v>17.538451687203239</v>
      </c>
      <c r="H22" s="183">
        <f t="shared" si="3"/>
        <v>19.370854904665048</v>
      </c>
      <c r="I22" s="183">
        <f t="shared" si="3"/>
        <v>17.959075125106683</v>
      </c>
      <c r="J22" s="178"/>
      <c r="K22" s="178"/>
      <c r="L22" s="178"/>
      <c r="M22" s="178"/>
      <c r="N22" s="178"/>
      <c r="O22" s="184"/>
      <c r="P22" s="184"/>
      <c r="Q22" s="183">
        <f>(1-Q19/Q18)*100</f>
        <v>18.974052452920997</v>
      </c>
      <c r="R22" s="142">
        <f>Q21/Q18</f>
        <v>0.81025947547079002</v>
      </c>
    </row>
    <row r="23" spans="2:20" ht="43.5" customHeight="1" x14ac:dyDescent="0.35">
      <c r="B23" s="215" t="s">
        <v>5</v>
      </c>
      <c r="C23" s="216"/>
      <c r="D23" s="100">
        <v>16</v>
      </c>
      <c r="E23" s="103" t="s">
        <v>20</v>
      </c>
      <c r="F23" s="103" t="s">
        <v>20</v>
      </c>
      <c r="G23" s="103" t="s">
        <v>20</v>
      </c>
      <c r="H23" s="103" t="s">
        <v>20</v>
      </c>
      <c r="I23" s="103" t="s">
        <v>20</v>
      </c>
      <c r="J23" s="98"/>
      <c r="K23" s="98"/>
      <c r="L23" s="98"/>
      <c r="M23" s="98"/>
      <c r="N23" s="98"/>
      <c r="R23" s="143">
        <f>100*R22+Q22</f>
        <v>100</v>
      </c>
    </row>
    <row r="24" spans="2:20" ht="240" customHeight="1" x14ac:dyDescent="0.35">
      <c r="B24" s="233" t="s">
        <v>40</v>
      </c>
      <c r="C24" s="234"/>
      <c r="D24" s="234"/>
      <c r="E24" s="234"/>
      <c r="F24" s="234"/>
      <c r="G24" s="235"/>
      <c r="H24" s="238" t="s">
        <v>75</v>
      </c>
      <c r="I24" s="238"/>
    </row>
    <row r="25" spans="2:20" ht="84.75" customHeight="1" x14ac:dyDescent="0.4">
      <c r="B25" s="236" t="s">
        <v>47</v>
      </c>
      <c r="C25" s="237"/>
      <c r="D25" s="237"/>
      <c r="E25" s="237"/>
      <c r="F25" s="237"/>
      <c r="G25" s="237"/>
      <c r="H25" s="237"/>
      <c r="I25" s="237"/>
      <c r="J25" s="237"/>
      <c r="K25" s="237"/>
      <c r="L25" s="237"/>
      <c r="M25" s="237"/>
      <c r="N25" s="237"/>
      <c r="O25" s="237"/>
      <c r="P25" s="237"/>
      <c r="Q25" s="237"/>
    </row>
  </sheetData>
  <mergeCells count="20">
    <mergeCell ref="H24:I24"/>
    <mergeCell ref="B25:Q25"/>
    <mergeCell ref="B15:B17"/>
    <mergeCell ref="B18:B20"/>
    <mergeCell ref="B21:C21"/>
    <mergeCell ref="B22:C22"/>
    <mergeCell ref="B23:C23"/>
    <mergeCell ref="B24:G24"/>
    <mergeCell ref="B14:C14"/>
    <mergeCell ref="B1:P1"/>
    <mergeCell ref="B3:P3"/>
    <mergeCell ref="B4:P4"/>
    <mergeCell ref="B6:P6"/>
    <mergeCell ref="B8:C8"/>
    <mergeCell ref="B9:C9"/>
    <mergeCell ref="B10:C10"/>
    <mergeCell ref="B11:C11"/>
    <mergeCell ref="B12:C12"/>
    <mergeCell ref="B13:C13"/>
    <mergeCell ref="E13:I13"/>
  </mergeCells>
  <pageMargins left="0.11811023622047245" right="0.11811023622047245" top="0.55118110236220474" bottom="0.15748031496062992" header="0.11811023622047245" footer="0.11811023622047245"/>
  <pageSetup paperSize="9" scale="41" orientation="landscape" r:id="rId1"/>
  <colBreaks count="1" manualBreakCount="1">
    <brk id="17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5"/>
  <sheetViews>
    <sheetView workbookViewId="0">
      <selection activeCell="B4" sqref="B4:P4"/>
    </sheetView>
  </sheetViews>
  <sheetFormatPr defaultRowHeight="15" x14ac:dyDescent="0.25"/>
  <cols>
    <col min="1" max="1" width="0.42578125" style="1" customWidth="1"/>
    <col min="2" max="2" width="9.85546875" style="1" customWidth="1"/>
    <col min="3" max="3" width="69.5703125" style="1" customWidth="1"/>
    <col min="4" max="4" width="4.42578125" style="4" customWidth="1"/>
    <col min="5" max="5" width="20.42578125" style="14" customWidth="1"/>
    <col min="6" max="6" width="22.28515625" style="4" customWidth="1"/>
    <col min="7" max="7" width="21.28515625" style="4" customWidth="1"/>
    <col min="8" max="8" width="1.28515625" style="4" customWidth="1"/>
    <col min="9" max="9" width="1.140625" style="4" customWidth="1"/>
    <col min="10" max="10" width="0.140625" style="4" hidden="1" customWidth="1"/>
    <col min="11" max="11" width="3.5703125" style="4" hidden="1" customWidth="1"/>
    <col min="12" max="12" width="1.140625" style="4" customWidth="1"/>
    <col min="13" max="14" width="0.28515625" style="4" customWidth="1"/>
    <col min="15" max="15" width="0.7109375" style="1" customWidth="1"/>
    <col min="16" max="16" width="2.42578125" style="1" customWidth="1"/>
    <col min="17" max="16384" width="9.140625" style="1"/>
  </cols>
  <sheetData>
    <row r="1" spans="2:19" ht="52.5" customHeight="1" x14ac:dyDescent="0.25">
      <c r="B1" s="241" t="s">
        <v>9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</row>
    <row r="2" spans="2:19" ht="6.75" customHeight="1" x14ac:dyDescent="0.25">
      <c r="O2" s="26"/>
      <c r="P2" s="8"/>
    </row>
    <row r="3" spans="2:19" ht="55.5" customHeight="1" x14ac:dyDescent="0.25">
      <c r="B3" s="243" t="s">
        <v>11</v>
      </c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</row>
    <row r="4" spans="2:19" ht="156" customHeight="1" x14ac:dyDescent="0.25">
      <c r="B4" s="244" t="s">
        <v>18</v>
      </c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</row>
    <row r="5" spans="2:19" ht="4.5" customHeight="1" x14ac:dyDescent="0.25">
      <c r="C5" s="27"/>
      <c r="D5" s="6"/>
      <c r="E5" s="15"/>
      <c r="F5" s="6"/>
      <c r="G5" s="6"/>
      <c r="H5" s="6"/>
      <c r="I5" s="6"/>
      <c r="J5" s="6"/>
      <c r="K5" s="6"/>
      <c r="L5" s="6"/>
      <c r="M5" s="6"/>
      <c r="N5" s="6"/>
      <c r="O5" s="5"/>
      <c r="P5" s="5"/>
    </row>
    <row r="6" spans="2:19" ht="31.5" customHeight="1" x14ac:dyDescent="0.25">
      <c r="B6" s="245" t="s">
        <v>12</v>
      </c>
      <c r="C6" s="242"/>
      <c r="D6" s="242"/>
      <c r="E6" s="242"/>
      <c r="F6" s="242"/>
      <c r="G6" s="242"/>
      <c r="H6" s="242"/>
      <c r="I6" s="242"/>
      <c r="J6" s="242"/>
      <c r="K6" s="242"/>
      <c r="L6" s="242"/>
      <c r="M6" s="242"/>
      <c r="N6" s="242"/>
      <c r="O6" s="242"/>
      <c r="P6" s="242"/>
    </row>
    <row r="7" spans="2:19" ht="9" customHeight="1" x14ac:dyDescent="0.25">
      <c r="C7" s="28"/>
      <c r="D7" s="9"/>
      <c r="E7" s="16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spans="2:19" s="2" customFormat="1" ht="15.75" customHeight="1" x14ac:dyDescent="0.25">
      <c r="B8" s="239" t="s">
        <v>6</v>
      </c>
      <c r="C8" s="246"/>
      <c r="D8" s="12">
        <v>1</v>
      </c>
      <c r="E8" s="17"/>
      <c r="F8" s="12"/>
      <c r="G8" s="12"/>
      <c r="H8" s="7"/>
      <c r="I8" s="7"/>
      <c r="J8" s="7"/>
      <c r="K8" s="7"/>
      <c r="L8" s="7"/>
      <c r="M8" s="7"/>
      <c r="N8" s="7"/>
      <c r="O8" s="7"/>
      <c r="P8" s="6"/>
    </row>
    <row r="9" spans="2:19" ht="20.25" customHeight="1" x14ac:dyDescent="0.25">
      <c r="B9" s="239" t="s">
        <v>8</v>
      </c>
      <c r="C9" s="240"/>
      <c r="D9" s="13">
        <v>2</v>
      </c>
      <c r="E9" s="18"/>
      <c r="F9" s="13"/>
      <c r="G9" s="13"/>
      <c r="H9" s="10"/>
      <c r="I9" s="10"/>
      <c r="J9" s="10"/>
      <c r="K9" s="10"/>
      <c r="L9" s="10"/>
      <c r="M9" s="10"/>
      <c r="N9" s="10"/>
      <c r="O9" s="27"/>
      <c r="P9" s="27"/>
      <c r="Q9" s="3"/>
      <c r="R9" s="3"/>
      <c r="S9" s="3"/>
    </row>
    <row r="10" spans="2:19" ht="46.5" customHeight="1" x14ac:dyDescent="0.25">
      <c r="B10" s="239" t="s">
        <v>7</v>
      </c>
      <c r="C10" s="240"/>
      <c r="D10" s="12">
        <v>3</v>
      </c>
      <c r="E10" s="21"/>
      <c r="F10" s="22"/>
      <c r="G10" s="22"/>
      <c r="H10" s="7"/>
      <c r="I10" s="7"/>
      <c r="J10" s="7"/>
      <c r="K10" s="7"/>
      <c r="L10" s="7"/>
      <c r="M10" s="7"/>
      <c r="N10" s="7"/>
      <c r="O10" s="27"/>
      <c r="P10" s="27"/>
      <c r="Q10" s="3"/>
      <c r="R10" s="3"/>
      <c r="S10" s="3"/>
    </row>
    <row r="11" spans="2:19" ht="20.25" customHeight="1" x14ac:dyDescent="0.25">
      <c r="B11" s="239" t="s">
        <v>0</v>
      </c>
      <c r="C11" s="240"/>
      <c r="D11" s="13">
        <v>4</v>
      </c>
      <c r="E11" s="21"/>
      <c r="F11" s="22"/>
      <c r="G11" s="22"/>
      <c r="H11" s="7"/>
      <c r="I11" s="7"/>
      <c r="J11" s="7"/>
      <c r="K11" s="7"/>
      <c r="L11" s="7"/>
      <c r="M11" s="7"/>
      <c r="N11" s="7"/>
      <c r="O11" s="27"/>
      <c r="P11" s="27"/>
      <c r="Q11" s="3"/>
      <c r="R11" s="3"/>
      <c r="S11" s="3"/>
    </row>
    <row r="12" spans="2:19" ht="36.75" customHeight="1" x14ac:dyDescent="0.25">
      <c r="B12" s="239" t="s">
        <v>1</v>
      </c>
      <c r="C12" s="240"/>
      <c r="D12" s="12">
        <v>5</v>
      </c>
      <c r="E12" s="23"/>
      <c r="F12" s="24"/>
      <c r="G12" s="24"/>
      <c r="H12" s="10"/>
      <c r="I12" s="10"/>
      <c r="J12" s="10"/>
      <c r="K12" s="10"/>
      <c r="L12" s="10"/>
      <c r="M12" s="10"/>
      <c r="N12" s="10"/>
      <c r="O12" s="27"/>
      <c r="P12" s="27"/>
      <c r="Q12" s="3"/>
      <c r="R12" s="3"/>
      <c r="S12" s="3"/>
    </row>
    <row r="13" spans="2:19" ht="21" customHeight="1" x14ac:dyDescent="0.25">
      <c r="B13" s="239" t="s">
        <v>2</v>
      </c>
      <c r="C13" s="240"/>
      <c r="D13" s="13">
        <v>6</v>
      </c>
      <c r="E13" s="21"/>
      <c r="F13" s="22"/>
      <c r="G13" s="22"/>
      <c r="H13" s="7"/>
      <c r="I13" s="7"/>
      <c r="J13" s="7"/>
      <c r="K13" s="7"/>
      <c r="L13" s="7"/>
      <c r="M13" s="7"/>
      <c r="N13" s="7"/>
      <c r="O13" s="27"/>
      <c r="P13" s="27"/>
      <c r="Q13" s="3"/>
      <c r="R13" s="3"/>
      <c r="S13" s="3"/>
    </row>
    <row r="14" spans="2:19" ht="20.25" customHeight="1" x14ac:dyDescent="0.25">
      <c r="B14" s="239" t="s">
        <v>3</v>
      </c>
      <c r="C14" s="240"/>
      <c r="D14" s="12">
        <v>7</v>
      </c>
      <c r="E14" s="17"/>
      <c r="F14" s="12"/>
      <c r="G14" s="12"/>
      <c r="H14" s="7"/>
      <c r="I14" s="7"/>
      <c r="J14" s="7"/>
      <c r="K14" s="7"/>
      <c r="L14" s="7"/>
      <c r="M14" s="7"/>
      <c r="N14" s="7"/>
      <c r="O14" s="27"/>
      <c r="P14" s="27"/>
      <c r="Q14" s="3"/>
      <c r="R14" s="3"/>
      <c r="S14" s="3"/>
    </row>
    <row r="15" spans="2:19" ht="35.25" customHeight="1" x14ac:dyDescent="0.25">
      <c r="B15" s="247" t="s">
        <v>15</v>
      </c>
      <c r="C15" s="25" t="s">
        <v>13</v>
      </c>
      <c r="D15" s="13">
        <v>8</v>
      </c>
      <c r="E15" s="18">
        <v>75.34</v>
      </c>
      <c r="F15" s="13"/>
      <c r="G15" s="13"/>
      <c r="H15" s="10"/>
      <c r="I15" s="10"/>
      <c r="J15" s="10"/>
      <c r="K15" s="10"/>
      <c r="L15" s="10"/>
      <c r="M15" s="10"/>
      <c r="N15" s="10"/>
      <c r="O15" s="27"/>
      <c r="P15" s="27"/>
      <c r="Q15" s="3"/>
      <c r="R15" s="3"/>
      <c r="S15" s="3"/>
    </row>
    <row r="16" spans="2:19" ht="33.75" customHeight="1" x14ac:dyDescent="0.25">
      <c r="B16" s="248"/>
      <c r="C16" s="25" t="s">
        <v>19</v>
      </c>
      <c r="D16" s="12">
        <v>9</v>
      </c>
      <c r="E16" s="17">
        <v>116.02</v>
      </c>
      <c r="F16" s="12"/>
      <c r="G16" s="12"/>
      <c r="H16" s="7"/>
      <c r="I16" s="7"/>
      <c r="J16" s="7"/>
      <c r="K16" s="7"/>
      <c r="L16" s="7"/>
      <c r="M16" s="7"/>
      <c r="N16" s="7"/>
      <c r="O16" s="27"/>
      <c r="P16" s="27"/>
      <c r="Q16" s="3"/>
      <c r="R16" s="3"/>
      <c r="S16" s="3"/>
    </row>
    <row r="17" spans="2:19" ht="38.25" customHeight="1" x14ac:dyDescent="0.25">
      <c r="B17" s="249"/>
      <c r="C17" s="11" t="s">
        <v>14</v>
      </c>
      <c r="D17" s="13">
        <v>10</v>
      </c>
      <c r="E17" s="17">
        <v>0</v>
      </c>
      <c r="F17" s="12"/>
      <c r="G17" s="12"/>
      <c r="H17" s="7"/>
      <c r="I17" s="7"/>
      <c r="J17" s="7"/>
      <c r="K17" s="7"/>
      <c r="L17" s="7"/>
      <c r="M17" s="7"/>
      <c r="N17" s="7"/>
      <c r="O17" s="27"/>
      <c r="P17" s="27"/>
      <c r="Q17" s="3"/>
      <c r="R17" s="3"/>
      <c r="S17" s="3"/>
    </row>
    <row r="18" spans="2:19" ht="33.75" customHeight="1" x14ac:dyDescent="0.25">
      <c r="B18" s="250" t="s">
        <v>16</v>
      </c>
      <c r="C18" s="25" t="s">
        <v>13</v>
      </c>
      <c r="D18" s="12">
        <v>11</v>
      </c>
      <c r="E18" s="17">
        <v>1819.7</v>
      </c>
      <c r="F18" s="12"/>
      <c r="G18" s="12"/>
      <c r="H18" s="7"/>
      <c r="I18" s="7"/>
      <c r="J18" s="7"/>
      <c r="K18" s="7"/>
      <c r="L18" s="7"/>
      <c r="M18" s="7"/>
      <c r="N18" s="7"/>
      <c r="O18" s="27"/>
      <c r="P18" s="27"/>
      <c r="Q18" s="3"/>
      <c r="R18" s="3"/>
      <c r="S18" s="3"/>
    </row>
    <row r="19" spans="2:19" ht="36.75" customHeight="1" x14ac:dyDescent="0.25">
      <c r="B19" s="251"/>
      <c r="C19" s="25" t="s">
        <v>19</v>
      </c>
      <c r="D19" s="13">
        <v>12</v>
      </c>
      <c r="E19" s="18">
        <v>1535.29</v>
      </c>
      <c r="F19" s="13"/>
      <c r="G19" s="13"/>
      <c r="H19" s="10"/>
      <c r="I19" s="10"/>
      <c r="J19" s="10"/>
      <c r="K19" s="10"/>
      <c r="L19" s="10"/>
      <c r="M19" s="10"/>
      <c r="N19" s="10"/>
      <c r="O19" s="27"/>
      <c r="P19" s="27"/>
      <c r="Q19" s="3"/>
      <c r="R19" s="3"/>
      <c r="S19" s="3"/>
    </row>
    <row r="20" spans="2:19" ht="36.75" customHeight="1" x14ac:dyDescent="0.25">
      <c r="B20" s="251"/>
      <c r="C20" s="11" t="s">
        <v>14</v>
      </c>
      <c r="D20" s="12">
        <v>13</v>
      </c>
      <c r="E20" s="17">
        <v>0</v>
      </c>
      <c r="F20" s="12"/>
      <c r="G20" s="12"/>
      <c r="H20" s="7"/>
      <c r="I20" s="7"/>
      <c r="J20" s="7"/>
      <c r="K20" s="7"/>
      <c r="L20" s="7"/>
      <c r="M20" s="7"/>
      <c r="N20" s="7"/>
      <c r="O20" s="27"/>
      <c r="P20" s="27"/>
      <c r="Q20" s="3"/>
      <c r="R20" s="3"/>
      <c r="S20" s="3"/>
    </row>
    <row r="21" spans="2:19" ht="33.75" customHeight="1" x14ac:dyDescent="0.25">
      <c r="B21" s="239" t="s">
        <v>17</v>
      </c>
      <c r="C21" s="246"/>
      <c r="D21" s="13">
        <v>14</v>
      </c>
      <c r="E21" s="19">
        <f>E19-E20</f>
        <v>1535.29</v>
      </c>
      <c r="F21" s="19">
        <f t="shared" ref="F21:G21" si="0">F19-F20</f>
        <v>0</v>
      </c>
      <c r="G21" s="19">
        <f t="shared" si="0"/>
        <v>0</v>
      </c>
      <c r="H21" s="7"/>
      <c r="I21" s="7"/>
      <c r="J21" s="7"/>
      <c r="K21" s="7"/>
      <c r="L21" s="7"/>
      <c r="M21" s="7"/>
      <c r="N21" s="7"/>
      <c r="O21" s="27"/>
      <c r="P21" s="27"/>
      <c r="Q21" s="3"/>
      <c r="R21" s="3"/>
      <c r="S21" s="3"/>
    </row>
    <row r="22" spans="2:19" ht="43.5" customHeight="1" x14ac:dyDescent="0.25">
      <c r="B22" s="239" t="s">
        <v>4</v>
      </c>
      <c r="C22" s="240"/>
      <c r="D22" s="12">
        <v>15</v>
      </c>
      <c r="E22" s="20">
        <f>(E18-E19)/E18</f>
        <v>0.15629499368027702</v>
      </c>
      <c r="F22" s="20" t="e">
        <f>(F18-F19)/F18</f>
        <v>#DIV/0!</v>
      </c>
      <c r="G22" s="20" t="e">
        <f>(G18-G19)/G18</f>
        <v>#DIV/0!</v>
      </c>
      <c r="H22" s="7"/>
      <c r="I22" s="7"/>
      <c r="J22" s="7"/>
      <c r="K22" s="7"/>
      <c r="L22" s="7"/>
      <c r="M22" s="7"/>
      <c r="N22" s="7"/>
    </row>
    <row r="23" spans="2:19" ht="43.5" customHeight="1" x14ac:dyDescent="0.25">
      <c r="B23" s="239" t="s">
        <v>5</v>
      </c>
      <c r="C23" s="240"/>
      <c r="D23" s="13">
        <v>16</v>
      </c>
      <c r="E23" s="17" t="s">
        <v>20</v>
      </c>
      <c r="F23" s="12"/>
      <c r="G23" s="12"/>
      <c r="H23" s="7"/>
      <c r="I23" s="7"/>
      <c r="J23" s="7"/>
      <c r="K23" s="7"/>
      <c r="L23" s="7"/>
      <c r="M23" s="7"/>
      <c r="N23" s="7"/>
    </row>
    <row r="24" spans="2:19" ht="209.25" customHeight="1" x14ac:dyDescent="0.25">
      <c r="B24" s="252" t="s">
        <v>21</v>
      </c>
      <c r="C24" s="253"/>
      <c r="D24" s="253"/>
      <c r="E24" s="253"/>
      <c r="F24" s="253"/>
      <c r="G24" s="253"/>
    </row>
    <row r="25" spans="2:19" ht="84.75" customHeight="1" x14ac:dyDescent="0.25">
      <c r="B25" s="244" t="s">
        <v>10</v>
      </c>
      <c r="C25" s="242"/>
      <c r="D25" s="242"/>
      <c r="E25" s="242"/>
      <c r="F25" s="242"/>
      <c r="G25" s="242"/>
      <c r="H25" s="242"/>
      <c r="I25" s="242"/>
      <c r="J25" s="242"/>
      <c r="K25" s="242"/>
      <c r="L25" s="242"/>
      <c r="M25" s="242"/>
      <c r="N25" s="242"/>
      <c r="O25" s="242"/>
      <c r="P25" s="242"/>
      <c r="Q25" s="242"/>
    </row>
  </sheetData>
  <mergeCells count="18">
    <mergeCell ref="B25:Q25"/>
    <mergeCell ref="B10:C10"/>
    <mergeCell ref="B11:C11"/>
    <mergeCell ref="B12:C12"/>
    <mergeCell ref="B13:C13"/>
    <mergeCell ref="B14:C14"/>
    <mergeCell ref="B15:B17"/>
    <mergeCell ref="B18:B20"/>
    <mergeCell ref="B21:C21"/>
    <mergeCell ref="B22:C22"/>
    <mergeCell ref="B23:C23"/>
    <mergeCell ref="B24:G24"/>
    <mergeCell ref="B9:C9"/>
    <mergeCell ref="B1:P1"/>
    <mergeCell ref="B3:P3"/>
    <mergeCell ref="B4:P4"/>
    <mergeCell ref="B6:P6"/>
    <mergeCell ref="B8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25"/>
  <sheetViews>
    <sheetView topLeftCell="D13" zoomScale="70" zoomScaleNormal="70" workbookViewId="0">
      <selection activeCell="T20" sqref="T20"/>
    </sheetView>
  </sheetViews>
  <sheetFormatPr defaultRowHeight="20.25" x14ac:dyDescent="0.3"/>
  <cols>
    <col min="1" max="1" width="0.42578125" style="29" customWidth="1"/>
    <col min="2" max="2" width="20.7109375" style="29" customWidth="1"/>
    <col min="3" max="3" width="99.5703125" style="29" customWidth="1"/>
    <col min="4" max="4" width="4.42578125" style="30" customWidth="1"/>
    <col min="5" max="5" width="38" style="31" customWidth="1"/>
    <col min="6" max="9" width="38" style="30" customWidth="1"/>
    <col min="10" max="10" width="0.140625" style="30" hidden="1" customWidth="1"/>
    <col min="11" max="11" width="3.5703125" style="30" hidden="1" customWidth="1"/>
    <col min="12" max="12" width="1.140625" style="30" customWidth="1"/>
    <col min="13" max="14" width="0.28515625" style="30" customWidth="1"/>
    <col min="15" max="15" width="0.7109375" style="29" customWidth="1"/>
    <col min="16" max="16" width="2.42578125" style="29" customWidth="1"/>
    <col min="17" max="17" width="23.42578125" style="29" customWidth="1"/>
    <col min="18" max="18" width="15.28515625" style="29" customWidth="1"/>
    <col min="19" max="19" width="9.140625" style="29"/>
    <col min="20" max="20" width="15.85546875" style="29" customWidth="1"/>
    <col min="21" max="16384" width="9.140625" style="29"/>
  </cols>
  <sheetData>
    <row r="1" spans="2:19" ht="63.75" customHeight="1" x14ac:dyDescent="0.3">
      <c r="B1" s="191" t="s">
        <v>9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</row>
    <row r="2" spans="2:19" ht="6.75" customHeight="1" x14ac:dyDescent="0.3">
      <c r="O2" s="62"/>
      <c r="P2" s="59"/>
    </row>
    <row r="3" spans="2:19" ht="55.5" customHeight="1" x14ac:dyDescent="0.3">
      <c r="B3" s="193" t="s">
        <v>11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</row>
    <row r="4" spans="2:19" s="34" customFormat="1" ht="117.75" customHeight="1" x14ac:dyDescent="0.3">
      <c r="B4" s="194" t="s">
        <v>41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</row>
    <row r="5" spans="2:19" ht="4.5" customHeight="1" x14ac:dyDescent="0.3">
      <c r="C5" s="58"/>
      <c r="D5" s="36"/>
      <c r="E5" s="37"/>
      <c r="F5" s="36"/>
      <c r="G5" s="36"/>
      <c r="H5" s="36"/>
      <c r="I5" s="36"/>
      <c r="J5" s="36"/>
      <c r="K5" s="36"/>
      <c r="L5" s="36"/>
      <c r="M5" s="36"/>
      <c r="N5" s="36"/>
      <c r="O5" s="38"/>
      <c r="P5" s="38"/>
    </row>
    <row r="6" spans="2:19" ht="38.25" customHeight="1" x14ac:dyDescent="0.3">
      <c r="B6" s="196" t="s">
        <v>12</v>
      </c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</row>
    <row r="7" spans="2:19" ht="9.75" customHeight="1" x14ac:dyDescent="0.3">
      <c r="C7" s="61"/>
      <c r="D7" s="61"/>
      <c r="E7" s="40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2:19" s="44" customFormat="1" ht="25.5" customHeight="1" x14ac:dyDescent="0.25">
      <c r="B8" s="189" t="s">
        <v>6</v>
      </c>
      <c r="C8" s="197"/>
      <c r="D8" s="41">
        <v>1</v>
      </c>
      <c r="E8" s="42">
        <v>1</v>
      </c>
      <c r="F8" s="41">
        <v>2</v>
      </c>
      <c r="G8" s="42">
        <v>3</v>
      </c>
      <c r="H8" s="41">
        <v>4</v>
      </c>
      <c r="I8" s="42">
        <v>5</v>
      </c>
      <c r="J8" s="43"/>
      <c r="K8" s="43"/>
      <c r="L8" s="43"/>
      <c r="M8" s="43"/>
      <c r="N8" s="43"/>
      <c r="O8" s="43"/>
      <c r="P8" s="36"/>
    </row>
    <row r="9" spans="2:19" ht="20.25" customHeight="1" x14ac:dyDescent="0.3">
      <c r="B9" s="189" t="s">
        <v>8</v>
      </c>
      <c r="C9" s="190"/>
      <c r="D9" s="45">
        <v>2</v>
      </c>
      <c r="E9" s="46"/>
      <c r="F9" s="45"/>
      <c r="G9" s="45"/>
      <c r="H9" s="45"/>
      <c r="I9" s="45"/>
      <c r="J9" s="47"/>
      <c r="K9" s="47"/>
      <c r="L9" s="47"/>
      <c r="M9" s="47"/>
      <c r="N9" s="47"/>
      <c r="O9" s="58"/>
      <c r="P9" s="58"/>
      <c r="Q9" s="34"/>
      <c r="R9" s="34"/>
      <c r="S9" s="34"/>
    </row>
    <row r="10" spans="2:19" ht="35.25" customHeight="1" x14ac:dyDescent="0.3">
      <c r="B10" s="189" t="s">
        <v>23</v>
      </c>
      <c r="C10" s="190"/>
      <c r="D10" s="41">
        <v>3</v>
      </c>
      <c r="E10" s="48" t="s">
        <v>22</v>
      </c>
      <c r="F10" s="41" t="s">
        <v>24</v>
      </c>
      <c r="G10" s="41" t="s">
        <v>25</v>
      </c>
      <c r="H10" s="49" t="s">
        <v>26</v>
      </c>
      <c r="I10" s="49" t="s">
        <v>34</v>
      </c>
      <c r="J10" s="43"/>
      <c r="K10" s="43"/>
      <c r="L10" s="43"/>
      <c r="M10" s="43"/>
      <c r="N10" s="43"/>
      <c r="O10" s="58"/>
      <c r="P10" s="58"/>
      <c r="Q10" s="34"/>
      <c r="R10" s="34"/>
      <c r="S10" s="34"/>
    </row>
    <row r="11" spans="2:19" ht="20.25" customHeight="1" x14ac:dyDescent="0.3">
      <c r="B11" s="189" t="s">
        <v>0</v>
      </c>
      <c r="C11" s="190"/>
      <c r="D11" s="45">
        <v>4</v>
      </c>
      <c r="E11" s="50">
        <v>23674.6</v>
      </c>
      <c r="F11" s="50">
        <v>21486.799999999999</v>
      </c>
      <c r="G11" s="50">
        <v>25499.7</v>
      </c>
      <c r="H11" s="50">
        <v>20412.599999999999</v>
      </c>
      <c r="I11" s="50">
        <v>16455.599999999999</v>
      </c>
      <c r="J11" s="43"/>
      <c r="K11" s="43"/>
      <c r="L11" s="43"/>
      <c r="M11" s="43"/>
      <c r="N11" s="43"/>
      <c r="O11" s="58"/>
      <c r="P11" s="58"/>
      <c r="Q11" s="34"/>
      <c r="R11" s="34"/>
      <c r="S11" s="34"/>
    </row>
    <row r="12" spans="2:19" ht="36.75" customHeight="1" x14ac:dyDescent="0.3">
      <c r="B12" s="189" t="s">
        <v>1</v>
      </c>
      <c r="C12" s="190"/>
      <c r="D12" s="41">
        <v>5</v>
      </c>
      <c r="E12" s="46" t="s">
        <v>27</v>
      </c>
      <c r="F12" s="46" t="s">
        <v>27</v>
      </c>
      <c r="G12" s="46" t="s">
        <v>27</v>
      </c>
      <c r="H12" s="46" t="s">
        <v>27</v>
      </c>
      <c r="I12" s="46" t="s">
        <v>27</v>
      </c>
      <c r="J12" s="47"/>
      <c r="K12" s="47"/>
      <c r="L12" s="47"/>
      <c r="M12" s="47"/>
      <c r="N12" s="47"/>
      <c r="O12" s="58"/>
      <c r="P12" s="58"/>
      <c r="Q12" s="34"/>
      <c r="R12" s="34"/>
      <c r="S12" s="34"/>
    </row>
    <row r="13" spans="2:19" ht="21" customHeight="1" x14ac:dyDescent="0.3">
      <c r="B13" s="189" t="s">
        <v>2</v>
      </c>
      <c r="C13" s="190"/>
      <c r="D13" s="45">
        <v>6</v>
      </c>
      <c r="E13" s="198" t="s">
        <v>28</v>
      </c>
      <c r="F13" s="199"/>
      <c r="G13" s="199"/>
      <c r="H13" s="199"/>
      <c r="I13" s="200"/>
      <c r="J13" s="43"/>
      <c r="K13" s="43"/>
      <c r="L13" s="43"/>
      <c r="M13" s="43"/>
      <c r="N13" s="43"/>
      <c r="O13" s="58"/>
      <c r="P13" s="58"/>
      <c r="Q13" s="34"/>
      <c r="R13" s="34"/>
      <c r="S13" s="34"/>
    </row>
    <row r="14" spans="2:19" ht="20.25" customHeight="1" x14ac:dyDescent="0.3">
      <c r="B14" s="189" t="s">
        <v>3</v>
      </c>
      <c r="C14" s="190"/>
      <c r="D14" s="41">
        <v>7</v>
      </c>
      <c r="E14" s="51" t="s">
        <v>29</v>
      </c>
      <c r="F14" s="51" t="s">
        <v>30</v>
      </c>
      <c r="G14" s="51" t="s">
        <v>31</v>
      </c>
      <c r="H14" s="51" t="s">
        <v>32</v>
      </c>
      <c r="I14" s="51" t="s">
        <v>33</v>
      </c>
      <c r="J14" s="43"/>
      <c r="K14" s="43"/>
      <c r="L14" s="43"/>
      <c r="M14" s="43"/>
      <c r="N14" s="43"/>
      <c r="O14" s="58"/>
      <c r="P14" s="58"/>
      <c r="Q14" s="34"/>
      <c r="R14" s="34"/>
      <c r="S14" s="34"/>
    </row>
    <row r="15" spans="2:19" ht="48.75" customHeight="1" x14ac:dyDescent="0.3">
      <c r="B15" s="210" t="s">
        <v>15</v>
      </c>
      <c r="C15" s="60" t="s">
        <v>35</v>
      </c>
      <c r="D15" s="45">
        <v>8</v>
      </c>
      <c r="E15" s="68">
        <f>E11*6.52/1000</f>
        <v>154.35839199999998</v>
      </c>
      <c r="F15" s="68">
        <f t="shared" ref="F15:I15" si="0">F11*6.52/1000</f>
        <v>140.09393599999999</v>
      </c>
      <c r="G15" s="68">
        <f t="shared" si="0"/>
        <v>166.25804399999998</v>
      </c>
      <c r="H15" s="68">
        <f t="shared" si="0"/>
        <v>133.09015199999996</v>
      </c>
      <c r="I15" s="68">
        <f t="shared" si="0"/>
        <v>107.29051199999999</v>
      </c>
      <c r="J15" s="47"/>
      <c r="K15" s="47"/>
      <c r="L15" s="47"/>
      <c r="M15" s="47"/>
      <c r="N15" s="47"/>
      <c r="O15" s="58"/>
      <c r="P15" s="58"/>
      <c r="Q15" s="54">
        <f>SUM(E15:I15)</f>
        <v>701.09103599999992</v>
      </c>
      <c r="R15" s="34"/>
      <c r="S15" s="34"/>
    </row>
    <row r="16" spans="2:19" ht="48.75" customHeight="1" x14ac:dyDescent="0.3">
      <c r="B16" s="211"/>
      <c r="C16" s="60" t="s">
        <v>36</v>
      </c>
      <c r="D16" s="41">
        <v>9</v>
      </c>
      <c r="E16" s="69">
        <f>E19-'июль 2018'!E19</f>
        <v>176.87241999999969</v>
      </c>
      <c r="F16" s="69">
        <f>F19-'июль 2018'!F19</f>
        <v>141.14664000000084</v>
      </c>
      <c r="G16" s="69">
        <f>G19-'июль 2018'!G19</f>
        <v>157.89605999999912</v>
      </c>
      <c r="H16" s="69">
        <f>H19-'июль 2018'!H19</f>
        <v>164.43025000000034</v>
      </c>
      <c r="I16" s="69">
        <f>I19-'июль 2018'!I19</f>
        <v>135.68651</v>
      </c>
      <c r="J16" s="43"/>
      <c r="K16" s="43"/>
      <c r="L16" s="43"/>
      <c r="M16" s="43"/>
      <c r="N16" s="43"/>
      <c r="O16" s="58"/>
      <c r="P16" s="58"/>
      <c r="Q16" s="67">
        <f>SUM(E16:I16)</f>
        <v>776.03188</v>
      </c>
      <c r="R16" s="34"/>
      <c r="S16" s="34"/>
    </row>
    <row r="17" spans="2:20" ht="48.75" customHeight="1" x14ac:dyDescent="0.3">
      <c r="B17" s="212"/>
      <c r="C17" s="55" t="s">
        <v>37</v>
      </c>
      <c r="D17" s="45">
        <v>10</v>
      </c>
      <c r="E17" s="69">
        <v>0</v>
      </c>
      <c r="F17" s="69">
        <v>0</v>
      </c>
      <c r="G17" s="69">
        <v>0</v>
      </c>
      <c r="H17" s="69">
        <v>0</v>
      </c>
      <c r="I17" s="69">
        <v>0</v>
      </c>
      <c r="J17" s="43"/>
      <c r="K17" s="43"/>
      <c r="L17" s="43"/>
      <c r="M17" s="43"/>
      <c r="N17" s="43"/>
      <c r="O17" s="58"/>
      <c r="P17" s="58"/>
      <c r="Q17" s="54">
        <f t="shared" ref="Q17:Q20" si="1">SUM(E17:I17)</f>
        <v>0</v>
      </c>
      <c r="R17" s="34"/>
      <c r="S17" s="34"/>
    </row>
    <row r="18" spans="2:20" ht="48.75" customHeight="1" x14ac:dyDescent="0.3">
      <c r="B18" s="213" t="s">
        <v>16</v>
      </c>
      <c r="C18" s="60" t="s">
        <v>35</v>
      </c>
      <c r="D18" s="41">
        <v>11</v>
      </c>
      <c r="E18" s="69">
        <f t="shared" ref="E18:G18" si="2">(E11*(5.84*23+6.27*24+6.52*2))/1000</f>
        <v>7051.2428639999989</v>
      </c>
      <c r="F18" s="69">
        <f t="shared" si="2"/>
        <v>6399.6285119999993</v>
      </c>
      <c r="G18" s="69">
        <f t="shared" si="2"/>
        <v>7594.8306480000001</v>
      </c>
      <c r="H18" s="69">
        <f>(H11*(5.84*23+6.27*24+6.52*2))/1000</f>
        <v>6079.688783999999</v>
      </c>
      <c r="I18" s="69">
        <f>(I11*(5.84*23+6.27*24+6.52*2))/1000</f>
        <v>4901.1359039999988</v>
      </c>
      <c r="J18" s="43"/>
      <c r="K18" s="43"/>
      <c r="L18" s="43"/>
      <c r="M18" s="43"/>
      <c r="N18" s="43"/>
      <c r="O18" s="58"/>
      <c r="P18" s="58"/>
      <c r="Q18" s="54">
        <f t="shared" si="1"/>
        <v>32026.526711999995</v>
      </c>
      <c r="R18" s="34"/>
      <c r="S18" s="34"/>
      <c r="T18" s="29" t="s">
        <v>45</v>
      </c>
    </row>
    <row r="19" spans="2:20" ht="48.75" customHeight="1" x14ac:dyDescent="0.3">
      <c r="B19" s="214"/>
      <c r="C19" s="60" t="s">
        <v>36</v>
      </c>
      <c r="D19" s="45">
        <v>12</v>
      </c>
      <c r="E19" s="70">
        <f>5514298.04/1000</f>
        <v>5514.2980399999997</v>
      </c>
      <c r="F19" s="70">
        <f>4741105.16/1000</f>
        <v>4741.1051600000001</v>
      </c>
      <c r="G19" s="70">
        <f>5923050.18/1000</f>
        <v>5923.0501799999993</v>
      </c>
      <c r="H19" s="70">
        <f>4639565.38/1000</f>
        <v>4639.56538</v>
      </c>
      <c r="I19" s="70">
        <f>3769594.74/1000</f>
        <v>3769.59474</v>
      </c>
      <c r="J19" s="47"/>
      <c r="K19" s="47"/>
      <c r="L19" s="47"/>
      <c r="M19" s="47"/>
      <c r="N19" s="47"/>
      <c r="O19" s="58"/>
      <c r="P19" s="58"/>
      <c r="Q19" s="54">
        <f t="shared" si="1"/>
        <v>24587.613499999999</v>
      </c>
      <c r="R19" s="34"/>
      <c r="S19" s="34"/>
      <c r="T19" s="67">
        <f>Q19-'июль 2018'!Q19</f>
        <v>776.03188000000227</v>
      </c>
    </row>
    <row r="20" spans="2:20" ht="48.75" customHeight="1" x14ac:dyDescent="0.3">
      <c r="B20" s="214"/>
      <c r="C20" s="55" t="s">
        <v>37</v>
      </c>
      <c r="D20" s="41">
        <v>13</v>
      </c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43"/>
      <c r="K20" s="43"/>
      <c r="L20" s="43"/>
      <c r="M20" s="43"/>
      <c r="N20" s="43"/>
      <c r="O20" s="58"/>
      <c r="P20" s="58"/>
      <c r="Q20" s="54">
        <f t="shared" si="1"/>
        <v>0</v>
      </c>
      <c r="R20" s="34"/>
      <c r="S20" s="34"/>
    </row>
    <row r="21" spans="2:20" ht="41.25" customHeight="1" x14ac:dyDescent="0.3">
      <c r="B21" s="189" t="s">
        <v>17</v>
      </c>
      <c r="C21" s="197"/>
      <c r="D21" s="45">
        <v>14</v>
      </c>
      <c r="E21" s="71">
        <f>E19-E20</f>
        <v>5514.2980399999997</v>
      </c>
      <c r="F21" s="71">
        <f t="shared" ref="F21:I21" si="3">F19-F20</f>
        <v>4741.1051600000001</v>
      </c>
      <c r="G21" s="71">
        <f t="shared" si="3"/>
        <v>5923.0501799999993</v>
      </c>
      <c r="H21" s="71">
        <f t="shared" si="3"/>
        <v>4639.56538</v>
      </c>
      <c r="I21" s="71">
        <f t="shared" si="3"/>
        <v>3769.59474</v>
      </c>
      <c r="J21" s="43"/>
      <c r="K21" s="43"/>
      <c r="L21" s="43"/>
      <c r="M21" s="43"/>
      <c r="N21" s="43"/>
      <c r="O21" s="58"/>
      <c r="P21" s="58"/>
      <c r="Q21" s="54">
        <f>SUM(E21:I21)</f>
        <v>24587.613499999999</v>
      </c>
      <c r="R21" s="34"/>
      <c r="S21" s="34"/>
    </row>
    <row r="22" spans="2:20" ht="43.5" customHeight="1" x14ac:dyDescent="0.3">
      <c r="B22" s="189" t="s">
        <v>4</v>
      </c>
      <c r="C22" s="190"/>
      <c r="D22" s="41">
        <v>15</v>
      </c>
      <c r="E22" s="50">
        <f>(1-E19/E18)*100</f>
        <v>21.796793184458942</v>
      </c>
      <c r="F22" s="50">
        <f t="shared" ref="F22:I22" si="4">(1-F19/F18)*100</f>
        <v>25.915931665253499</v>
      </c>
      <c r="G22" s="50">
        <f t="shared" si="4"/>
        <v>22.012083553702976</v>
      </c>
      <c r="H22" s="50">
        <f t="shared" si="4"/>
        <v>23.687452683268784</v>
      </c>
      <c r="I22" s="50">
        <f t="shared" si="4"/>
        <v>23.087324778660111</v>
      </c>
      <c r="J22" s="43"/>
      <c r="K22" s="43"/>
      <c r="L22" s="43"/>
      <c r="M22" s="43"/>
      <c r="N22" s="43"/>
      <c r="Q22" s="50">
        <f t="shared" ref="Q22" si="5">(1-Q19/Q18)*100</f>
        <v>23.227349249872653</v>
      </c>
    </row>
    <row r="23" spans="2:20" ht="43.5" customHeight="1" x14ac:dyDescent="0.3">
      <c r="B23" s="189" t="s">
        <v>5</v>
      </c>
      <c r="C23" s="190"/>
      <c r="D23" s="45">
        <v>16</v>
      </c>
      <c r="E23" s="48" t="s">
        <v>20</v>
      </c>
      <c r="F23" s="48" t="s">
        <v>20</v>
      </c>
      <c r="G23" s="48" t="s">
        <v>20</v>
      </c>
      <c r="H23" s="48" t="s">
        <v>20</v>
      </c>
      <c r="I23" s="48" t="s">
        <v>20</v>
      </c>
      <c r="J23" s="43"/>
      <c r="K23" s="43"/>
      <c r="L23" s="43"/>
      <c r="M23" s="43"/>
      <c r="N23" s="43"/>
    </row>
    <row r="24" spans="2:20" ht="230.25" customHeight="1" x14ac:dyDescent="0.3">
      <c r="B24" s="207" t="s">
        <v>40</v>
      </c>
      <c r="C24" s="208"/>
      <c r="D24" s="208"/>
      <c r="E24" s="208"/>
      <c r="F24" s="208"/>
      <c r="G24" s="209"/>
      <c r="H24" s="63" t="s">
        <v>42</v>
      </c>
    </row>
    <row r="25" spans="2:20" ht="84.75" customHeight="1" x14ac:dyDescent="0.3">
      <c r="B25" s="201" t="s">
        <v>47</v>
      </c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</row>
  </sheetData>
  <mergeCells count="19">
    <mergeCell ref="B14:C14"/>
    <mergeCell ref="B1:P1"/>
    <mergeCell ref="B3:P3"/>
    <mergeCell ref="B4:P4"/>
    <mergeCell ref="B6:P6"/>
    <mergeCell ref="B8:C8"/>
    <mergeCell ref="B9:C9"/>
    <mergeCell ref="B10:C10"/>
    <mergeCell ref="B11:C11"/>
    <mergeCell ref="B12:C12"/>
    <mergeCell ref="B13:C13"/>
    <mergeCell ref="E13:I13"/>
    <mergeCell ref="B25:Q25"/>
    <mergeCell ref="B15:B17"/>
    <mergeCell ref="B18:B20"/>
    <mergeCell ref="B21:C21"/>
    <mergeCell ref="B22:C22"/>
    <mergeCell ref="B23:C23"/>
    <mergeCell ref="B24:G24"/>
  </mergeCells>
  <pageMargins left="0.7" right="0.7" top="0.75" bottom="0.75" header="0.3" footer="0.3"/>
  <pageSetup paperSize="9" scale="41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25"/>
  <sheetViews>
    <sheetView view="pageBreakPreview" topLeftCell="B8" zoomScale="60" zoomScaleNormal="100" zoomScalePageLayoutView="55" workbookViewId="0">
      <selection activeCell="H18" sqref="H18"/>
    </sheetView>
  </sheetViews>
  <sheetFormatPr defaultRowHeight="20.25" x14ac:dyDescent="0.3"/>
  <cols>
    <col min="1" max="1" width="0.42578125" style="29" customWidth="1"/>
    <col min="2" max="2" width="21.85546875" style="29" customWidth="1"/>
    <col min="3" max="3" width="94.42578125" style="29" customWidth="1"/>
    <col min="4" max="4" width="6.140625" style="30" customWidth="1"/>
    <col min="5" max="5" width="38" style="31" customWidth="1"/>
    <col min="6" max="9" width="38" style="30" customWidth="1"/>
    <col min="10" max="10" width="0.140625" style="30" hidden="1" customWidth="1"/>
    <col min="11" max="11" width="3.5703125" style="30" hidden="1" customWidth="1"/>
    <col min="12" max="12" width="1.140625" style="30" customWidth="1"/>
    <col min="13" max="14" width="0.28515625" style="30" customWidth="1"/>
    <col min="15" max="15" width="0.7109375" style="29" customWidth="1"/>
    <col min="16" max="16" width="2.42578125" style="29" customWidth="1"/>
    <col min="17" max="17" width="23.42578125" style="29" customWidth="1"/>
    <col min="18" max="18" width="9.140625" style="29"/>
    <col min="19" max="19" width="10.5703125" style="29" bestFit="1" customWidth="1"/>
    <col min="20" max="16384" width="9.140625" style="29"/>
  </cols>
  <sheetData>
    <row r="1" spans="2:19" ht="63.75" customHeight="1" x14ac:dyDescent="0.3">
      <c r="B1" s="191" t="s">
        <v>9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</row>
    <row r="2" spans="2:19" ht="6.75" customHeight="1" x14ac:dyDescent="0.3">
      <c r="O2" s="32"/>
      <c r="P2" s="33"/>
    </row>
    <row r="3" spans="2:19" ht="55.5" customHeight="1" x14ac:dyDescent="0.3">
      <c r="B3" s="193" t="s">
        <v>11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</row>
    <row r="4" spans="2:19" s="34" customFormat="1" ht="117.75" customHeight="1" x14ac:dyDescent="0.3">
      <c r="B4" s="194" t="s">
        <v>38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</row>
    <row r="5" spans="2:19" ht="4.5" customHeight="1" x14ac:dyDescent="0.3">
      <c r="C5" s="35"/>
      <c r="D5" s="36"/>
      <c r="E5" s="37"/>
      <c r="F5" s="36"/>
      <c r="G5" s="36"/>
      <c r="H5" s="36"/>
      <c r="I5" s="36"/>
      <c r="J5" s="36"/>
      <c r="K5" s="36"/>
      <c r="L5" s="36"/>
      <c r="M5" s="36"/>
      <c r="N5" s="36"/>
      <c r="O5" s="38"/>
      <c r="P5" s="38"/>
    </row>
    <row r="6" spans="2:19" ht="31.5" customHeight="1" x14ac:dyDescent="0.3">
      <c r="B6" s="196" t="s">
        <v>12</v>
      </c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</row>
    <row r="7" spans="2:19" ht="9.75" customHeight="1" x14ac:dyDescent="0.3">
      <c r="C7" s="39"/>
      <c r="D7" s="39"/>
      <c r="E7" s="40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2:19" s="44" customFormat="1" ht="25.5" customHeight="1" x14ac:dyDescent="0.25">
      <c r="B8" s="189" t="s">
        <v>6</v>
      </c>
      <c r="C8" s="197"/>
      <c r="D8" s="41">
        <v>1</v>
      </c>
      <c r="E8" s="42">
        <v>1</v>
      </c>
      <c r="F8" s="41">
        <v>2</v>
      </c>
      <c r="G8" s="42">
        <v>3</v>
      </c>
      <c r="H8" s="41">
        <v>4</v>
      </c>
      <c r="I8" s="42">
        <v>5</v>
      </c>
      <c r="J8" s="43"/>
      <c r="K8" s="43"/>
      <c r="L8" s="43"/>
      <c r="M8" s="43"/>
      <c r="N8" s="43"/>
      <c r="O8" s="43"/>
      <c r="P8" s="36"/>
    </row>
    <row r="9" spans="2:19" ht="20.25" customHeight="1" x14ac:dyDescent="0.3">
      <c r="B9" s="189" t="s">
        <v>8</v>
      </c>
      <c r="C9" s="190"/>
      <c r="D9" s="45">
        <v>2</v>
      </c>
      <c r="E9" s="46"/>
      <c r="F9" s="45"/>
      <c r="G9" s="45"/>
      <c r="H9" s="45"/>
      <c r="I9" s="45"/>
      <c r="J9" s="47"/>
      <c r="K9" s="47"/>
      <c r="L9" s="47"/>
      <c r="M9" s="47"/>
      <c r="N9" s="47"/>
      <c r="O9" s="35"/>
      <c r="P9" s="35"/>
      <c r="Q9" s="34"/>
      <c r="R9" s="34"/>
      <c r="S9" s="34"/>
    </row>
    <row r="10" spans="2:19" ht="35.25" customHeight="1" x14ac:dyDescent="0.3">
      <c r="B10" s="189" t="s">
        <v>23</v>
      </c>
      <c r="C10" s="190"/>
      <c r="D10" s="41">
        <v>3</v>
      </c>
      <c r="E10" s="48" t="s">
        <v>22</v>
      </c>
      <c r="F10" s="41" t="s">
        <v>24</v>
      </c>
      <c r="G10" s="41" t="s">
        <v>25</v>
      </c>
      <c r="H10" s="49" t="s">
        <v>26</v>
      </c>
      <c r="I10" s="49" t="s">
        <v>34</v>
      </c>
      <c r="J10" s="43"/>
      <c r="K10" s="43"/>
      <c r="L10" s="43"/>
      <c r="M10" s="43"/>
      <c r="N10" s="43"/>
      <c r="O10" s="35"/>
      <c r="P10" s="35"/>
      <c r="Q10" s="34"/>
      <c r="R10" s="34"/>
      <c r="S10" s="34"/>
    </row>
    <row r="11" spans="2:19" ht="20.25" customHeight="1" x14ac:dyDescent="0.3">
      <c r="B11" s="189" t="s">
        <v>0</v>
      </c>
      <c r="C11" s="190"/>
      <c r="D11" s="45">
        <v>4</v>
      </c>
      <c r="E11" s="50">
        <v>23674.6</v>
      </c>
      <c r="F11" s="50">
        <v>21486.799999999999</v>
      </c>
      <c r="G11" s="50">
        <v>25499.7</v>
      </c>
      <c r="H11" s="50">
        <v>20412.599999999999</v>
      </c>
      <c r="I11" s="50">
        <v>16455.599999999999</v>
      </c>
      <c r="J11" s="43"/>
      <c r="K11" s="43"/>
      <c r="L11" s="43"/>
      <c r="M11" s="43"/>
      <c r="N11" s="43"/>
      <c r="O11" s="35"/>
      <c r="P11" s="35"/>
      <c r="Q11" s="34"/>
      <c r="R11" s="34"/>
      <c r="S11" s="34"/>
    </row>
    <row r="12" spans="2:19" ht="36.75" customHeight="1" x14ac:dyDescent="0.3">
      <c r="B12" s="189" t="s">
        <v>1</v>
      </c>
      <c r="C12" s="190"/>
      <c r="D12" s="41">
        <v>5</v>
      </c>
      <c r="E12" s="46" t="s">
        <v>27</v>
      </c>
      <c r="F12" s="46" t="s">
        <v>27</v>
      </c>
      <c r="G12" s="46" t="s">
        <v>27</v>
      </c>
      <c r="H12" s="46" t="s">
        <v>27</v>
      </c>
      <c r="I12" s="46" t="s">
        <v>27</v>
      </c>
      <c r="J12" s="47"/>
      <c r="K12" s="47"/>
      <c r="L12" s="47"/>
      <c r="M12" s="47"/>
      <c r="N12" s="47"/>
      <c r="O12" s="35"/>
      <c r="P12" s="35"/>
      <c r="Q12" s="34"/>
      <c r="R12" s="34"/>
      <c r="S12" s="34"/>
    </row>
    <row r="13" spans="2:19" ht="21" customHeight="1" x14ac:dyDescent="0.3">
      <c r="B13" s="189" t="s">
        <v>2</v>
      </c>
      <c r="C13" s="190"/>
      <c r="D13" s="45">
        <v>6</v>
      </c>
      <c r="E13" s="198" t="s">
        <v>28</v>
      </c>
      <c r="F13" s="199"/>
      <c r="G13" s="199"/>
      <c r="H13" s="199"/>
      <c r="I13" s="200"/>
      <c r="J13" s="43"/>
      <c r="K13" s="43"/>
      <c r="L13" s="43"/>
      <c r="M13" s="43"/>
      <c r="N13" s="43"/>
      <c r="O13" s="35"/>
      <c r="P13" s="35"/>
      <c r="Q13" s="34"/>
      <c r="R13" s="34"/>
      <c r="S13" s="34"/>
    </row>
    <row r="14" spans="2:19" ht="20.25" customHeight="1" x14ac:dyDescent="0.3">
      <c r="B14" s="189" t="s">
        <v>3</v>
      </c>
      <c r="C14" s="190"/>
      <c r="D14" s="41">
        <v>7</v>
      </c>
      <c r="E14" s="51" t="s">
        <v>29</v>
      </c>
      <c r="F14" s="51" t="s">
        <v>30</v>
      </c>
      <c r="G14" s="51" t="s">
        <v>31</v>
      </c>
      <c r="H14" s="51" t="s">
        <v>32</v>
      </c>
      <c r="I14" s="51" t="s">
        <v>33</v>
      </c>
      <c r="J14" s="43"/>
      <c r="K14" s="43"/>
      <c r="L14" s="43"/>
      <c r="M14" s="43"/>
      <c r="N14" s="43"/>
      <c r="O14" s="35"/>
      <c r="P14" s="35"/>
      <c r="Q14" s="34"/>
      <c r="R14" s="34"/>
      <c r="S14" s="34"/>
    </row>
    <row r="15" spans="2:19" ht="48.75" customHeight="1" x14ac:dyDescent="0.3">
      <c r="B15" s="210" t="s">
        <v>15</v>
      </c>
      <c r="C15" s="52" t="s">
        <v>35</v>
      </c>
      <c r="D15" s="45">
        <v>8</v>
      </c>
      <c r="E15" s="53">
        <f>E11*6.52/1000</f>
        <v>154.35839199999998</v>
      </c>
      <c r="F15" s="53">
        <f t="shared" ref="F15:I15" si="0">F11*6.52/1000</f>
        <v>140.09393599999999</v>
      </c>
      <c r="G15" s="53">
        <f t="shared" si="0"/>
        <v>166.25804399999998</v>
      </c>
      <c r="H15" s="53">
        <f t="shared" si="0"/>
        <v>133.09015199999996</v>
      </c>
      <c r="I15" s="53">
        <f t="shared" si="0"/>
        <v>107.29051199999999</v>
      </c>
      <c r="J15" s="47"/>
      <c r="K15" s="47"/>
      <c r="L15" s="47"/>
      <c r="M15" s="47"/>
      <c r="N15" s="47"/>
      <c r="O15" s="35"/>
      <c r="P15" s="35"/>
      <c r="Q15" s="54">
        <f>SUM(E15:I15)</f>
        <v>701.09103599999992</v>
      </c>
      <c r="R15" s="34"/>
      <c r="S15" s="34"/>
    </row>
    <row r="16" spans="2:19" ht="48.75" customHeight="1" x14ac:dyDescent="0.3">
      <c r="B16" s="211"/>
      <c r="C16" s="52" t="s">
        <v>36</v>
      </c>
      <c r="D16" s="41">
        <v>9</v>
      </c>
      <c r="E16" s="50">
        <f>E19-'[1]М 25'!$E$19/1000</f>
        <v>137.79302000000007</v>
      </c>
      <c r="F16" s="50">
        <f>F19-'[1]М 25'!$F$19/1000</f>
        <v>127.69387999999981</v>
      </c>
      <c r="G16" s="50">
        <f>G19-'[1]М 25'!$G$19/1000</f>
        <v>155.20378000000073</v>
      </c>
      <c r="H16" s="50">
        <f>H19-'[1]М 25'!$H$19/1000</f>
        <v>136.15472999999929</v>
      </c>
      <c r="I16" s="50">
        <f>I19-'[1]М 25'!$I$19/1000</f>
        <v>99.671220000000176</v>
      </c>
      <c r="J16" s="43"/>
      <c r="K16" s="43"/>
      <c r="L16" s="43"/>
      <c r="M16" s="43"/>
      <c r="N16" s="43"/>
      <c r="O16" s="35"/>
      <c r="P16" s="35"/>
      <c r="Q16" s="67">
        <f>SUM(E16:I16)</f>
        <v>656.51663000000008</v>
      </c>
      <c r="R16" s="34"/>
      <c r="S16" s="34"/>
    </row>
    <row r="17" spans="2:19" ht="48.75" customHeight="1" x14ac:dyDescent="0.3">
      <c r="B17" s="212"/>
      <c r="C17" s="55" t="s">
        <v>37</v>
      </c>
      <c r="D17" s="45">
        <v>10</v>
      </c>
      <c r="E17" s="48">
        <v>0</v>
      </c>
      <c r="F17" s="48">
        <v>0</v>
      </c>
      <c r="G17" s="48">
        <v>0</v>
      </c>
      <c r="H17" s="48">
        <v>0</v>
      </c>
      <c r="I17" s="48">
        <v>0</v>
      </c>
      <c r="J17" s="43"/>
      <c r="K17" s="43"/>
      <c r="L17" s="43"/>
      <c r="M17" s="43"/>
      <c r="N17" s="43"/>
      <c r="O17" s="35"/>
      <c r="P17" s="35"/>
      <c r="Q17" s="54">
        <f t="shared" ref="Q17:Q20" si="1">SUM(E17:I17)</f>
        <v>0</v>
      </c>
      <c r="R17" s="34"/>
      <c r="S17" s="34"/>
    </row>
    <row r="18" spans="2:19" ht="48.75" customHeight="1" x14ac:dyDescent="0.3">
      <c r="B18" s="213" t="s">
        <v>16</v>
      </c>
      <c r="C18" s="52" t="s">
        <v>35</v>
      </c>
      <c r="D18" s="41">
        <v>11</v>
      </c>
      <c r="E18" s="50">
        <f>(E11*(5.84*23+6.27*24+6.52))/1000</f>
        <v>6896.8844719999979</v>
      </c>
      <c r="F18" s="50">
        <f t="shared" ref="F18:I18" si="2">(F11*(5.84*23+6.27*24+6.52))/1000</f>
        <v>6259.5345759999982</v>
      </c>
      <c r="G18" s="50">
        <f t="shared" si="2"/>
        <v>7428.5726039999981</v>
      </c>
      <c r="H18" s="50">
        <f t="shared" si="2"/>
        <v>5946.5986319999984</v>
      </c>
      <c r="I18" s="50">
        <f t="shared" si="2"/>
        <v>4793.8453919999984</v>
      </c>
      <c r="J18" s="43"/>
      <c r="K18" s="43"/>
      <c r="L18" s="43"/>
      <c r="M18" s="43"/>
      <c r="N18" s="43"/>
      <c r="O18" s="35"/>
      <c r="P18" s="35"/>
      <c r="Q18" s="54">
        <f t="shared" si="1"/>
        <v>31325.43567599999</v>
      </c>
      <c r="R18" s="34"/>
      <c r="S18" s="34"/>
    </row>
    <row r="19" spans="2:19" ht="48.75" customHeight="1" x14ac:dyDescent="0.3">
      <c r="B19" s="214"/>
      <c r="C19" s="56" t="s">
        <v>36</v>
      </c>
      <c r="D19" s="45">
        <v>12</v>
      </c>
      <c r="E19" s="64">
        <f>5337425.62/1000</f>
        <v>5337.42562</v>
      </c>
      <c r="F19" s="64">
        <f>4599958.52/1000</f>
        <v>4599.9585199999992</v>
      </c>
      <c r="G19" s="64">
        <f>5765154.12/1000</f>
        <v>5765.1541200000001</v>
      </c>
      <c r="H19" s="64">
        <f>4475135.13/1000</f>
        <v>4475.1351299999997</v>
      </c>
      <c r="I19" s="64">
        <f>3633908.23/1000</f>
        <v>3633.90823</v>
      </c>
      <c r="J19" s="47"/>
      <c r="K19" s="47"/>
      <c r="L19" s="47"/>
      <c r="M19" s="47"/>
      <c r="N19" s="47"/>
      <c r="O19" s="57"/>
      <c r="P19" s="57"/>
      <c r="Q19" s="54">
        <f t="shared" si="1"/>
        <v>23811.581619999997</v>
      </c>
      <c r="R19" s="34"/>
      <c r="S19" s="66">
        <f>Q19-'июнь 2018'!Q19</f>
        <v>656.51662999999826</v>
      </c>
    </row>
    <row r="20" spans="2:19" ht="48.75" customHeight="1" x14ac:dyDescent="0.3">
      <c r="B20" s="214"/>
      <c r="C20" s="55" t="s">
        <v>37</v>
      </c>
      <c r="D20" s="41">
        <v>13</v>
      </c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43"/>
      <c r="K20" s="43"/>
      <c r="L20" s="43"/>
      <c r="M20" s="43"/>
      <c r="N20" s="43"/>
      <c r="O20" s="35"/>
      <c r="P20" s="35"/>
      <c r="Q20" s="54">
        <f t="shared" si="1"/>
        <v>0</v>
      </c>
      <c r="R20" s="34"/>
      <c r="S20" s="34"/>
    </row>
    <row r="21" spans="2:19" ht="41.25" customHeight="1" x14ac:dyDescent="0.3">
      <c r="B21" s="189" t="s">
        <v>17</v>
      </c>
      <c r="C21" s="197"/>
      <c r="D21" s="45">
        <v>14</v>
      </c>
      <c r="E21" s="50">
        <f>E19-E20</f>
        <v>5337.42562</v>
      </c>
      <c r="F21" s="50">
        <f t="shared" ref="F21:I21" si="3">F19-F20</f>
        <v>4599.9585199999992</v>
      </c>
      <c r="G21" s="50">
        <f t="shared" si="3"/>
        <v>5765.1541200000001</v>
      </c>
      <c r="H21" s="50">
        <f t="shared" si="3"/>
        <v>4475.1351299999997</v>
      </c>
      <c r="I21" s="50">
        <f t="shared" si="3"/>
        <v>3633.90823</v>
      </c>
      <c r="J21" s="43"/>
      <c r="K21" s="43"/>
      <c r="L21" s="43"/>
      <c r="M21" s="43"/>
      <c r="N21" s="43"/>
      <c r="O21" s="35"/>
      <c r="P21" s="35"/>
      <c r="Q21" s="54">
        <f>SUM(E21:I21)</f>
        <v>23811.581619999997</v>
      </c>
      <c r="R21" s="34"/>
      <c r="S21" s="34"/>
    </row>
    <row r="22" spans="2:19" ht="43.5" customHeight="1" x14ac:dyDescent="0.3">
      <c r="B22" s="189" t="s">
        <v>4</v>
      </c>
      <c r="C22" s="190"/>
      <c r="D22" s="41">
        <v>15</v>
      </c>
      <c r="E22" s="50">
        <f>(1-E19/E18)*100</f>
        <v>22.611062405512172</v>
      </c>
      <c r="F22" s="50">
        <f t="shared" ref="F22:I22" si="4">(1-F19/F18)*100</f>
        <v>26.512770811476372</v>
      </c>
      <c r="G22" s="50">
        <f t="shared" si="4"/>
        <v>22.392168356869956</v>
      </c>
      <c r="H22" s="50">
        <f t="shared" si="4"/>
        <v>24.744624499822798</v>
      </c>
      <c r="I22" s="50">
        <f t="shared" si="4"/>
        <v>24.196382385124672</v>
      </c>
      <c r="J22" s="43"/>
      <c r="K22" s="43"/>
      <c r="L22" s="43"/>
      <c r="M22" s="43"/>
      <c r="N22" s="43"/>
      <c r="Q22" s="50">
        <f t="shared" ref="Q22" si="5">(1-Q19/Q18)*100</f>
        <v>23.986431134481357</v>
      </c>
    </row>
    <row r="23" spans="2:19" ht="43.5" customHeight="1" x14ac:dyDescent="0.3">
      <c r="B23" s="189" t="s">
        <v>5</v>
      </c>
      <c r="C23" s="190"/>
      <c r="D23" s="45">
        <v>16</v>
      </c>
      <c r="E23" s="48" t="s">
        <v>20</v>
      </c>
      <c r="F23" s="48" t="s">
        <v>20</v>
      </c>
      <c r="G23" s="48" t="s">
        <v>20</v>
      </c>
      <c r="H23" s="48" t="s">
        <v>20</v>
      </c>
      <c r="I23" s="48" t="s">
        <v>20</v>
      </c>
      <c r="J23" s="43"/>
      <c r="K23" s="43"/>
      <c r="L23" s="43"/>
      <c r="M23" s="43"/>
      <c r="N23" s="43"/>
    </row>
    <row r="24" spans="2:19" ht="224.25" customHeight="1" x14ac:dyDescent="0.3">
      <c r="B24" s="207" t="s">
        <v>40</v>
      </c>
      <c r="C24" s="208"/>
      <c r="D24" s="208"/>
      <c r="E24" s="208"/>
      <c r="F24" s="208"/>
      <c r="G24" s="209"/>
      <c r="H24" s="63" t="s">
        <v>39</v>
      </c>
    </row>
    <row r="25" spans="2:19" ht="84.75" customHeight="1" x14ac:dyDescent="0.3">
      <c r="B25" s="201" t="s">
        <v>46</v>
      </c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</row>
  </sheetData>
  <mergeCells count="19">
    <mergeCell ref="B25:Q25"/>
    <mergeCell ref="B8:C8"/>
    <mergeCell ref="B6:P6"/>
    <mergeCell ref="B22:C22"/>
    <mergeCell ref="B15:B17"/>
    <mergeCell ref="B18:B20"/>
    <mergeCell ref="B21:C21"/>
    <mergeCell ref="B14:C14"/>
    <mergeCell ref="B13:C13"/>
    <mergeCell ref="B12:C12"/>
    <mergeCell ref="B11:C11"/>
    <mergeCell ref="B10:C10"/>
    <mergeCell ref="B23:C23"/>
    <mergeCell ref="B24:G24"/>
    <mergeCell ref="B9:C9"/>
    <mergeCell ref="E13:I13"/>
    <mergeCell ref="B1:P1"/>
    <mergeCell ref="B4:P4"/>
    <mergeCell ref="B3:P3"/>
  </mergeCells>
  <pageMargins left="0.25" right="0.25" top="0.75" bottom="0.75" header="0.3" footer="0.3"/>
  <pageSetup paperSize="9" scale="3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5"/>
  <sheetViews>
    <sheetView topLeftCell="A10" zoomScale="50" zoomScaleNormal="50" workbookViewId="0">
      <selection activeCell="H18" sqref="H18"/>
    </sheetView>
  </sheetViews>
  <sheetFormatPr defaultRowHeight="20.25" x14ac:dyDescent="0.3"/>
  <cols>
    <col min="1" max="1" width="0.42578125" style="29" customWidth="1"/>
    <col min="2" max="2" width="21.85546875" style="29" customWidth="1"/>
    <col min="3" max="3" width="96" style="29" customWidth="1"/>
    <col min="4" max="4" width="8.140625" style="30" customWidth="1"/>
    <col min="5" max="5" width="38" style="31" customWidth="1"/>
    <col min="6" max="9" width="38" style="30" customWidth="1"/>
    <col min="10" max="10" width="0.140625" style="30" hidden="1" customWidth="1"/>
    <col min="11" max="11" width="3.5703125" style="30" hidden="1" customWidth="1"/>
    <col min="12" max="12" width="1.140625" style="30" customWidth="1"/>
    <col min="13" max="14" width="0.28515625" style="30" customWidth="1"/>
    <col min="15" max="15" width="0.7109375" style="29" customWidth="1"/>
    <col min="16" max="16" width="2.42578125" style="29" customWidth="1"/>
    <col min="17" max="17" width="23.42578125" style="29" customWidth="1"/>
    <col min="18" max="19" width="9.140625" style="29"/>
    <col min="20" max="20" width="23.28515625" style="29" customWidth="1"/>
    <col min="21" max="21" width="9.140625" style="29"/>
    <col min="22" max="22" width="26.28515625" style="29" customWidth="1"/>
    <col min="23" max="16384" width="9.140625" style="29"/>
  </cols>
  <sheetData>
    <row r="1" spans="2:19" ht="63.75" customHeight="1" x14ac:dyDescent="0.3">
      <c r="B1" s="191" t="s">
        <v>9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</row>
    <row r="2" spans="2:19" ht="6.75" customHeight="1" x14ac:dyDescent="0.3">
      <c r="O2" s="62"/>
      <c r="P2" s="59"/>
    </row>
    <row r="3" spans="2:19" ht="55.5" customHeight="1" x14ac:dyDescent="0.3">
      <c r="B3" s="193" t="s">
        <v>11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</row>
    <row r="4" spans="2:19" s="34" customFormat="1" ht="117.75" customHeight="1" x14ac:dyDescent="0.3">
      <c r="B4" s="194" t="s">
        <v>43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</row>
    <row r="5" spans="2:19" ht="4.5" customHeight="1" x14ac:dyDescent="0.3">
      <c r="C5" s="58"/>
      <c r="D5" s="36"/>
      <c r="E5" s="37"/>
      <c r="F5" s="36"/>
      <c r="G5" s="36"/>
      <c r="H5" s="36"/>
      <c r="I5" s="36"/>
      <c r="J5" s="36"/>
      <c r="K5" s="36"/>
      <c r="L5" s="36"/>
      <c r="M5" s="36"/>
      <c r="N5" s="36"/>
      <c r="O5" s="38"/>
      <c r="P5" s="38"/>
    </row>
    <row r="6" spans="2:19" ht="31.5" customHeight="1" x14ac:dyDescent="0.3">
      <c r="B6" s="196" t="s">
        <v>12</v>
      </c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</row>
    <row r="7" spans="2:19" ht="9.75" customHeight="1" x14ac:dyDescent="0.3">
      <c r="C7" s="61"/>
      <c r="D7" s="61"/>
      <c r="E7" s="40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2:19" s="44" customFormat="1" ht="25.5" customHeight="1" x14ac:dyDescent="0.25">
      <c r="B8" s="189" t="s">
        <v>6</v>
      </c>
      <c r="C8" s="197"/>
      <c r="D8" s="41">
        <v>1</v>
      </c>
      <c r="E8" s="42">
        <v>1</v>
      </c>
      <c r="F8" s="41">
        <v>2</v>
      </c>
      <c r="G8" s="42">
        <v>3</v>
      </c>
      <c r="H8" s="41">
        <v>4</v>
      </c>
      <c r="I8" s="42">
        <v>5</v>
      </c>
      <c r="J8" s="43"/>
      <c r="K8" s="43"/>
      <c r="L8" s="43"/>
      <c r="M8" s="43"/>
      <c r="N8" s="43"/>
      <c r="O8" s="43"/>
      <c r="P8" s="36"/>
    </row>
    <row r="9" spans="2:19" ht="20.25" customHeight="1" x14ac:dyDescent="0.3">
      <c r="B9" s="189" t="s">
        <v>8</v>
      </c>
      <c r="C9" s="190"/>
      <c r="D9" s="45">
        <v>2</v>
      </c>
      <c r="E9" s="46"/>
      <c r="F9" s="45"/>
      <c r="G9" s="45"/>
      <c r="H9" s="45"/>
      <c r="I9" s="45"/>
      <c r="J9" s="47"/>
      <c r="K9" s="47"/>
      <c r="L9" s="47"/>
      <c r="M9" s="47"/>
      <c r="N9" s="47"/>
      <c r="O9" s="58"/>
      <c r="P9" s="58"/>
      <c r="Q9" s="34"/>
      <c r="R9" s="34"/>
      <c r="S9" s="34"/>
    </row>
    <row r="10" spans="2:19" ht="35.25" customHeight="1" x14ac:dyDescent="0.3">
      <c r="B10" s="189" t="s">
        <v>23</v>
      </c>
      <c r="C10" s="190"/>
      <c r="D10" s="41">
        <v>3</v>
      </c>
      <c r="E10" s="48" t="s">
        <v>22</v>
      </c>
      <c r="F10" s="41" t="s">
        <v>24</v>
      </c>
      <c r="G10" s="41" t="s">
        <v>25</v>
      </c>
      <c r="H10" s="49" t="s">
        <v>26</v>
      </c>
      <c r="I10" s="49" t="s">
        <v>34</v>
      </c>
      <c r="J10" s="43"/>
      <c r="K10" s="43"/>
      <c r="L10" s="43"/>
      <c r="M10" s="43"/>
      <c r="N10" s="43"/>
      <c r="O10" s="58"/>
      <c r="P10" s="58"/>
      <c r="Q10" s="34"/>
      <c r="R10" s="34"/>
      <c r="S10" s="34"/>
    </row>
    <row r="11" spans="2:19" ht="20.25" customHeight="1" x14ac:dyDescent="0.3">
      <c r="B11" s="189" t="s">
        <v>0</v>
      </c>
      <c r="C11" s="190"/>
      <c r="D11" s="45">
        <v>4</v>
      </c>
      <c r="E11" s="50">
        <v>23674.6</v>
      </c>
      <c r="F11" s="50">
        <v>21486.799999999999</v>
      </c>
      <c r="G11" s="50">
        <v>25499.7</v>
      </c>
      <c r="H11" s="50">
        <v>20412.599999999999</v>
      </c>
      <c r="I11" s="50">
        <v>16455.599999999999</v>
      </c>
      <c r="J11" s="43"/>
      <c r="K11" s="43"/>
      <c r="L11" s="43"/>
      <c r="M11" s="43"/>
      <c r="N11" s="43"/>
      <c r="O11" s="58"/>
      <c r="P11" s="58"/>
      <c r="Q11" s="34"/>
      <c r="R11" s="34"/>
      <c r="S11" s="34"/>
    </row>
    <row r="12" spans="2:19" ht="36.75" customHeight="1" x14ac:dyDescent="0.3">
      <c r="B12" s="189" t="s">
        <v>1</v>
      </c>
      <c r="C12" s="190"/>
      <c r="D12" s="41">
        <v>5</v>
      </c>
      <c r="E12" s="46" t="s">
        <v>27</v>
      </c>
      <c r="F12" s="46" t="s">
        <v>27</v>
      </c>
      <c r="G12" s="46" t="s">
        <v>27</v>
      </c>
      <c r="H12" s="46" t="s">
        <v>27</v>
      </c>
      <c r="I12" s="46" t="s">
        <v>27</v>
      </c>
      <c r="J12" s="47"/>
      <c r="K12" s="47"/>
      <c r="L12" s="47"/>
      <c r="M12" s="47"/>
      <c r="N12" s="47"/>
      <c r="O12" s="58"/>
      <c r="P12" s="58"/>
      <c r="Q12" s="34"/>
      <c r="R12" s="34"/>
      <c r="S12" s="34"/>
    </row>
    <row r="13" spans="2:19" ht="21" customHeight="1" x14ac:dyDescent="0.3">
      <c r="B13" s="189" t="s">
        <v>2</v>
      </c>
      <c r="C13" s="190"/>
      <c r="D13" s="45">
        <v>6</v>
      </c>
      <c r="E13" s="198" t="s">
        <v>28</v>
      </c>
      <c r="F13" s="199"/>
      <c r="G13" s="199"/>
      <c r="H13" s="199"/>
      <c r="I13" s="200"/>
      <c r="J13" s="43"/>
      <c r="K13" s="43"/>
      <c r="L13" s="43"/>
      <c r="M13" s="43"/>
      <c r="N13" s="43"/>
      <c r="O13" s="58"/>
      <c r="P13" s="58"/>
      <c r="Q13" s="34"/>
      <c r="R13" s="34"/>
      <c r="S13" s="34"/>
    </row>
    <row r="14" spans="2:19" ht="20.25" customHeight="1" x14ac:dyDescent="0.3">
      <c r="B14" s="189" t="s">
        <v>3</v>
      </c>
      <c r="C14" s="190"/>
      <c r="D14" s="41">
        <v>7</v>
      </c>
      <c r="E14" s="51" t="s">
        <v>29</v>
      </c>
      <c r="F14" s="51" t="s">
        <v>30</v>
      </c>
      <c r="G14" s="51" t="s">
        <v>31</v>
      </c>
      <c r="H14" s="51" t="s">
        <v>32</v>
      </c>
      <c r="I14" s="51" t="s">
        <v>33</v>
      </c>
      <c r="J14" s="43"/>
      <c r="K14" s="43"/>
      <c r="L14" s="43"/>
      <c r="M14" s="43"/>
      <c r="N14" s="43"/>
      <c r="O14" s="58"/>
      <c r="P14" s="58"/>
      <c r="Q14" s="34"/>
      <c r="R14" s="34"/>
      <c r="S14" s="34"/>
    </row>
    <row r="15" spans="2:19" ht="48.75" customHeight="1" x14ac:dyDescent="0.3">
      <c r="B15" s="210" t="s">
        <v>15</v>
      </c>
      <c r="C15" s="60" t="s">
        <v>35</v>
      </c>
      <c r="D15" s="45">
        <v>8</v>
      </c>
      <c r="E15" s="53">
        <f>E11*6.52/1000</f>
        <v>154.35839199999998</v>
      </c>
      <c r="F15" s="53">
        <f t="shared" ref="F15:I15" si="0">F11*6.52/1000</f>
        <v>140.09393599999999</v>
      </c>
      <c r="G15" s="53">
        <f t="shared" si="0"/>
        <v>166.25804399999998</v>
      </c>
      <c r="H15" s="53">
        <f t="shared" si="0"/>
        <v>133.09015199999996</v>
      </c>
      <c r="I15" s="53">
        <f t="shared" si="0"/>
        <v>107.29051199999999</v>
      </c>
      <c r="J15" s="47"/>
      <c r="K15" s="47"/>
      <c r="L15" s="47"/>
      <c r="M15" s="47"/>
      <c r="N15" s="47"/>
      <c r="O15" s="58"/>
      <c r="P15" s="58"/>
      <c r="Q15" s="54">
        <f>SUM(E15:I15)</f>
        <v>701.09103599999992</v>
      </c>
      <c r="R15" s="34"/>
      <c r="S15" s="34"/>
    </row>
    <row r="16" spans="2:19" ht="48.75" customHeight="1" x14ac:dyDescent="0.3">
      <c r="B16" s="211"/>
      <c r="C16" s="60" t="s">
        <v>36</v>
      </c>
      <c r="D16" s="41">
        <v>9</v>
      </c>
      <c r="E16" s="50">
        <f>E19-'[2]31.05.2018'!$I$7/1000</f>
        <v>319.01749999999993</v>
      </c>
      <c r="F16" s="50">
        <f>F19-'[2]31.05.2018'!$I$8/1000</f>
        <v>256.86576999999943</v>
      </c>
      <c r="G16" s="50">
        <f>G19-'[2]31.05.2018'!$I$9/1000</f>
        <v>298.95795999999973</v>
      </c>
      <c r="H16" s="50">
        <f>H19-'[2]31.05.2018'!$I$10/1000</f>
        <v>258.47495000000026</v>
      </c>
      <c r="I16" s="50">
        <f>I19-'[2]31.05.2018'!$I$11/1000</f>
        <v>235.73571999999967</v>
      </c>
      <c r="J16" s="43"/>
      <c r="K16" s="43"/>
      <c r="L16" s="43"/>
      <c r="M16" s="43"/>
      <c r="N16" s="43"/>
      <c r="O16" s="58"/>
      <c r="P16" s="58"/>
      <c r="Q16" s="54">
        <f>SUM(E16:I16)</f>
        <v>1369.051899999999</v>
      </c>
      <c r="R16" s="34"/>
      <c r="S16" s="34"/>
    </row>
    <row r="17" spans="2:20" ht="48.75" customHeight="1" x14ac:dyDescent="0.3">
      <c r="B17" s="212"/>
      <c r="C17" s="55" t="s">
        <v>37</v>
      </c>
      <c r="D17" s="45">
        <v>10</v>
      </c>
      <c r="E17" s="48">
        <v>0</v>
      </c>
      <c r="F17" s="48">
        <v>0</v>
      </c>
      <c r="G17" s="48">
        <v>0</v>
      </c>
      <c r="H17" s="48">
        <v>0</v>
      </c>
      <c r="I17" s="48">
        <v>0</v>
      </c>
      <c r="J17" s="43"/>
      <c r="K17" s="43"/>
      <c r="L17" s="43"/>
      <c r="M17" s="43"/>
      <c r="N17" s="43"/>
      <c r="O17" s="58"/>
      <c r="P17" s="58"/>
      <c r="Q17" s="54">
        <f t="shared" ref="Q17:Q20" si="1">SUM(E17:I17)</f>
        <v>0</v>
      </c>
      <c r="R17" s="34"/>
      <c r="S17" s="34"/>
    </row>
    <row r="18" spans="2:20" ht="48.75" customHeight="1" x14ac:dyDescent="0.3">
      <c r="B18" s="213" t="s">
        <v>16</v>
      </c>
      <c r="C18" s="60" t="s">
        <v>35</v>
      </c>
      <c r="D18" s="41">
        <v>11</v>
      </c>
      <c r="E18" s="50">
        <f>(E11*(5.84*23+6.27*24))/1000</f>
        <v>6742.5260799999978</v>
      </c>
      <c r="F18" s="50">
        <f t="shared" ref="F18:H18" si="2">(F11*(5.84*23+6.27*24))/1000</f>
        <v>6119.4406399999989</v>
      </c>
      <c r="G18" s="50">
        <f t="shared" si="2"/>
        <v>7262.3145599999989</v>
      </c>
      <c r="H18" s="50">
        <f t="shared" si="2"/>
        <v>5813.5084799999986</v>
      </c>
      <c r="I18" s="50">
        <f>(I11*(5.84*23+6.27*24))/1000</f>
        <v>4686.5548799999988</v>
      </c>
      <c r="J18" s="43"/>
      <c r="K18" s="43"/>
      <c r="L18" s="43"/>
      <c r="M18" s="43"/>
      <c r="N18" s="43"/>
      <c r="O18" s="58"/>
      <c r="P18" s="58"/>
      <c r="Q18" s="54">
        <f t="shared" si="1"/>
        <v>30624.344639999992</v>
      </c>
      <c r="R18" s="34"/>
      <c r="S18" s="34"/>
    </row>
    <row r="19" spans="2:20" ht="48.75" customHeight="1" x14ac:dyDescent="0.3">
      <c r="B19" s="214"/>
      <c r="C19" s="60" t="s">
        <v>36</v>
      </c>
      <c r="D19" s="45">
        <v>12</v>
      </c>
      <c r="E19" s="64">
        <f>5199632.6/1000</f>
        <v>5199.6325999999999</v>
      </c>
      <c r="F19" s="64">
        <f>4472264.64/1000</f>
        <v>4472.2646399999994</v>
      </c>
      <c r="G19" s="64">
        <f>5609950.34/1000</f>
        <v>5609.9503399999994</v>
      </c>
      <c r="H19" s="64">
        <f>4338980.4/1000</f>
        <v>4338.9804000000004</v>
      </c>
      <c r="I19" s="64">
        <f>3534237.01/1000</f>
        <v>3534.2370099999998</v>
      </c>
      <c r="J19" s="47"/>
      <c r="K19" s="47"/>
      <c r="L19" s="47"/>
      <c r="M19" s="47"/>
      <c r="N19" s="47"/>
      <c r="O19" s="58"/>
      <c r="P19" s="58"/>
      <c r="Q19" s="54">
        <f t="shared" si="1"/>
        <v>23155.064989999999</v>
      </c>
      <c r="R19" s="34"/>
      <c r="S19" s="34"/>
      <c r="T19" s="65">
        <f>Q19-'[2]31.05.2018'!$I$13/1000</f>
        <v>1369.0519000000022</v>
      </c>
    </row>
    <row r="20" spans="2:20" ht="48.75" customHeight="1" x14ac:dyDescent="0.3">
      <c r="B20" s="214"/>
      <c r="C20" s="55" t="s">
        <v>37</v>
      </c>
      <c r="D20" s="41">
        <v>13</v>
      </c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43"/>
      <c r="K20" s="43"/>
      <c r="L20" s="43"/>
      <c r="M20" s="43"/>
      <c r="N20" s="43"/>
      <c r="O20" s="58"/>
      <c r="P20" s="58"/>
      <c r="Q20" s="54">
        <f t="shared" si="1"/>
        <v>0</v>
      </c>
      <c r="R20" s="34"/>
      <c r="S20" s="34"/>
    </row>
    <row r="21" spans="2:20" ht="41.25" customHeight="1" x14ac:dyDescent="0.3">
      <c r="B21" s="189" t="s">
        <v>17</v>
      </c>
      <c r="C21" s="197"/>
      <c r="D21" s="45">
        <v>14</v>
      </c>
      <c r="E21" s="50">
        <f>E19-E20</f>
        <v>5199.6325999999999</v>
      </c>
      <c r="F21" s="50">
        <f t="shared" ref="F21:I21" si="3">F19-F20</f>
        <v>4472.2646399999994</v>
      </c>
      <c r="G21" s="50">
        <f t="shared" si="3"/>
        <v>5609.9503399999994</v>
      </c>
      <c r="H21" s="50">
        <f t="shared" si="3"/>
        <v>4338.9804000000004</v>
      </c>
      <c r="I21" s="50">
        <f t="shared" si="3"/>
        <v>3534.2370099999998</v>
      </c>
      <c r="J21" s="43"/>
      <c r="K21" s="43"/>
      <c r="L21" s="43"/>
      <c r="M21" s="43"/>
      <c r="N21" s="43"/>
      <c r="O21" s="58"/>
      <c r="P21" s="58"/>
      <c r="Q21" s="54">
        <f>SUM(E21:I21)</f>
        <v>23155.064989999999</v>
      </c>
      <c r="R21" s="34"/>
      <c r="S21" s="34"/>
    </row>
    <row r="22" spans="2:20" ht="43.5" customHeight="1" x14ac:dyDescent="0.3">
      <c r="B22" s="189" t="s">
        <v>4</v>
      </c>
      <c r="C22" s="190"/>
      <c r="D22" s="41">
        <v>15</v>
      </c>
      <c r="E22" s="50">
        <f>(1-E19/E18)*100</f>
        <v>22.883018347924555</v>
      </c>
      <c r="F22" s="50">
        <f t="shared" ref="F22:I22" si="4">(1-F19/F18)*100</f>
        <v>26.917100710695017</v>
      </c>
      <c r="G22" s="50">
        <f t="shared" si="4"/>
        <v>22.752583991624842</v>
      </c>
      <c r="H22" s="50">
        <f t="shared" si="4"/>
        <v>25.363824359640375</v>
      </c>
      <c r="I22" s="50">
        <f t="shared" si="4"/>
        <v>24.587738744243602</v>
      </c>
      <c r="J22" s="43"/>
      <c r="K22" s="43"/>
      <c r="L22" s="43"/>
      <c r="M22" s="43"/>
      <c r="N22" s="43"/>
      <c r="Q22" s="50">
        <f t="shared" ref="Q22" si="5">(1-Q19/Q18)*100</f>
        <v>24.390006505621653</v>
      </c>
    </row>
    <row r="23" spans="2:20" ht="43.5" customHeight="1" x14ac:dyDescent="0.3">
      <c r="B23" s="189" t="s">
        <v>5</v>
      </c>
      <c r="C23" s="190"/>
      <c r="D23" s="45">
        <v>16</v>
      </c>
      <c r="E23" s="48" t="s">
        <v>20</v>
      </c>
      <c r="F23" s="48" t="s">
        <v>20</v>
      </c>
      <c r="G23" s="48" t="s">
        <v>20</v>
      </c>
      <c r="H23" s="48" t="s">
        <v>20</v>
      </c>
      <c r="I23" s="48" t="s">
        <v>20</v>
      </c>
      <c r="J23" s="43"/>
      <c r="K23" s="43"/>
      <c r="L23" s="43"/>
      <c r="M23" s="43"/>
      <c r="N23" s="43"/>
    </row>
    <row r="24" spans="2:20" ht="224.25" customHeight="1" x14ac:dyDescent="0.3">
      <c r="B24" s="207" t="s">
        <v>40</v>
      </c>
      <c r="C24" s="208"/>
      <c r="D24" s="208"/>
      <c r="E24" s="208"/>
      <c r="F24" s="208"/>
      <c r="G24" s="209"/>
      <c r="H24" s="63" t="s">
        <v>44</v>
      </c>
    </row>
    <row r="25" spans="2:20" ht="84.75" customHeight="1" x14ac:dyDescent="0.3">
      <c r="B25" s="201" t="s">
        <v>10</v>
      </c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</row>
  </sheetData>
  <mergeCells count="19">
    <mergeCell ref="B14:C14"/>
    <mergeCell ref="B1:P1"/>
    <mergeCell ref="B3:P3"/>
    <mergeCell ref="B4:P4"/>
    <mergeCell ref="B6:P6"/>
    <mergeCell ref="B8:C8"/>
    <mergeCell ref="B9:C9"/>
    <mergeCell ref="B10:C10"/>
    <mergeCell ref="B11:C11"/>
    <mergeCell ref="B12:C12"/>
    <mergeCell ref="B13:C13"/>
    <mergeCell ref="E13:I13"/>
    <mergeCell ref="B25:Q25"/>
    <mergeCell ref="B15:B17"/>
    <mergeCell ref="B18:B20"/>
    <mergeCell ref="B21:C21"/>
    <mergeCell ref="B22:C22"/>
    <mergeCell ref="B23:C23"/>
    <mergeCell ref="B24:G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5"/>
  <sheetViews>
    <sheetView topLeftCell="A10" zoomScale="50" zoomScaleNormal="50" workbookViewId="0">
      <selection activeCell="R16" sqref="R16"/>
    </sheetView>
  </sheetViews>
  <sheetFormatPr defaultRowHeight="20.25" x14ac:dyDescent="0.3"/>
  <cols>
    <col min="1" max="1" width="0.42578125" style="29" customWidth="1"/>
    <col min="2" max="2" width="22.28515625" style="29" customWidth="1"/>
    <col min="3" max="3" width="99.5703125" style="29" customWidth="1"/>
    <col min="4" max="4" width="4.42578125" style="30" customWidth="1"/>
    <col min="5" max="5" width="38" style="31" customWidth="1"/>
    <col min="6" max="9" width="38" style="30" customWidth="1"/>
    <col min="10" max="10" width="0.140625" style="30" hidden="1" customWidth="1"/>
    <col min="11" max="11" width="3.5703125" style="30" hidden="1" customWidth="1"/>
    <col min="12" max="12" width="1.140625" style="30" customWidth="1"/>
    <col min="13" max="14" width="0.28515625" style="30" customWidth="1"/>
    <col min="15" max="15" width="0.7109375" style="29" customWidth="1"/>
    <col min="16" max="16" width="2.42578125" style="29" customWidth="1"/>
    <col min="17" max="17" width="23.42578125" style="29" customWidth="1"/>
    <col min="18" max="18" width="15.28515625" style="29" customWidth="1"/>
    <col min="19" max="19" width="9.140625" style="29"/>
    <col min="20" max="20" width="19" style="29" customWidth="1"/>
    <col min="21" max="16384" width="9.140625" style="29"/>
  </cols>
  <sheetData>
    <row r="1" spans="2:19" ht="63.75" customHeight="1" x14ac:dyDescent="0.3">
      <c r="B1" s="191" t="s">
        <v>9</v>
      </c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</row>
    <row r="2" spans="2:19" ht="6.75" customHeight="1" x14ac:dyDescent="0.3">
      <c r="O2" s="82"/>
      <c r="P2" s="80"/>
    </row>
    <row r="3" spans="2:19" ht="55.5" customHeight="1" x14ac:dyDescent="0.3">
      <c r="B3" s="193" t="s">
        <v>11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</row>
    <row r="4" spans="2:19" s="34" customFormat="1" ht="117.75" customHeight="1" x14ac:dyDescent="0.3">
      <c r="B4" s="194" t="s">
        <v>50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</row>
    <row r="5" spans="2:19" ht="4.5" customHeight="1" x14ac:dyDescent="0.3">
      <c r="C5" s="79"/>
      <c r="D5" s="36"/>
      <c r="E5" s="37"/>
      <c r="F5" s="36"/>
      <c r="G5" s="36"/>
      <c r="H5" s="36"/>
      <c r="I5" s="36"/>
      <c r="J5" s="36"/>
      <c r="K5" s="36"/>
      <c r="L5" s="36"/>
      <c r="M5" s="36"/>
      <c r="N5" s="36"/>
      <c r="O5" s="38"/>
      <c r="P5" s="38"/>
    </row>
    <row r="6" spans="2:19" ht="38.25" customHeight="1" x14ac:dyDescent="0.3">
      <c r="B6" s="196" t="s">
        <v>12</v>
      </c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  <c r="P6" s="192"/>
    </row>
    <row r="7" spans="2:19" ht="9.75" customHeight="1" x14ac:dyDescent="0.3">
      <c r="C7" s="83"/>
      <c r="D7" s="83"/>
      <c r="E7" s="40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</row>
    <row r="8" spans="2:19" s="44" customFormat="1" ht="25.5" customHeight="1" x14ac:dyDescent="0.25">
      <c r="B8" s="189" t="s">
        <v>6</v>
      </c>
      <c r="C8" s="197"/>
      <c r="D8" s="41">
        <v>1</v>
      </c>
      <c r="E8" s="42">
        <v>1</v>
      </c>
      <c r="F8" s="41">
        <v>2</v>
      </c>
      <c r="G8" s="42">
        <v>3</v>
      </c>
      <c r="H8" s="41">
        <v>4</v>
      </c>
      <c r="I8" s="42">
        <v>5</v>
      </c>
      <c r="J8" s="43"/>
      <c r="K8" s="43"/>
      <c r="L8" s="43"/>
      <c r="M8" s="43"/>
      <c r="N8" s="43"/>
      <c r="O8" s="43"/>
      <c r="P8" s="36"/>
    </row>
    <row r="9" spans="2:19" ht="20.25" customHeight="1" x14ac:dyDescent="0.3">
      <c r="B9" s="189" t="s">
        <v>8</v>
      </c>
      <c r="C9" s="190"/>
      <c r="D9" s="45">
        <v>2</v>
      </c>
      <c r="E9" s="46"/>
      <c r="F9" s="45"/>
      <c r="G9" s="45"/>
      <c r="H9" s="45"/>
      <c r="I9" s="45"/>
      <c r="J9" s="47"/>
      <c r="K9" s="47"/>
      <c r="L9" s="47"/>
      <c r="M9" s="47"/>
      <c r="N9" s="47"/>
      <c r="O9" s="79"/>
      <c r="P9" s="79"/>
      <c r="Q9" s="34"/>
      <c r="R9" s="34"/>
      <c r="S9" s="34"/>
    </row>
    <row r="10" spans="2:19" ht="35.25" customHeight="1" x14ac:dyDescent="0.3">
      <c r="B10" s="189" t="s">
        <v>23</v>
      </c>
      <c r="C10" s="190"/>
      <c r="D10" s="41">
        <v>3</v>
      </c>
      <c r="E10" s="48" t="s">
        <v>22</v>
      </c>
      <c r="F10" s="41" t="s">
        <v>24</v>
      </c>
      <c r="G10" s="41" t="s">
        <v>25</v>
      </c>
      <c r="H10" s="49" t="s">
        <v>26</v>
      </c>
      <c r="I10" s="49" t="s">
        <v>34</v>
      </c>
      <c r="J10" s="43"/>
      <c r="K10" s="43"/>
      <c r="L10" s="43"/>
      <c r="M10" s="43"/>
      <c r="N10" s="43"/>
      <c r="O10" s="79"/>
      <c r="P10" s="79"/>
      <c r="Q10" s="34"/>
      <c r="R10" s="34"/>
      <c r="S10" s="34"/>
    </row>
    <row r="11" spans="2:19" ht="20.25" customHeight="1" x14ac:dyDescent="0.3">
      <c r="B11" s="189" t="s">
        <v>0</v>
      </c>
      <c r="C11" s="190"/>
      <c r="D11" s="45">
        <v>4</v>
      </c>
      <c r="E11" s="78">
        <v>23674.6</v>
      </c>
      <c r="F11" s="78">
        <v>21486.799999999999</v>
      </c>
      <c r="G11" s="78">
        <v>25499.7</v>
      </c>
      <c r="H11" s="78">
        <v>20412.599999999999</v>
      </c>
      <c r="I11" s="78">
        <v>16455.599999999999</v>
      </c>
      <c r="J11" s="43"/>
      <c r="K11" s="43"/>
      <c r="L11" s="43"/>
      <c r="M11" s="43"/>
      <c r="N11" s="43"/>
      <c r="O11" s="79"/>
      <c r="P11" s="79"/>
      <c r="Q11" s="34"/>
      <c r="R11" s="34"/>
      <c r="S11" s="34"/>
    </row>
    <row r="12" spans="2:19" ht="36.75" customHeight="1" x14ac:dyDescent="0.3">
      <c r="B12" s="189" t="s">
        <v>1</v>
      </c>
      <c r="C12" s="190"/>
      <c r="D12" s="41">
        <v>5</v>
      </c>
      <c r="E12" s="46" t="s">
        <v>27</v>
      </c>
      <c r="F12" s="46" t="s">
        <v>27</v>
      </c>
      <c r="G12" s="46" t="s">
        <v>27</v>
      </c>
      <c r="H12" s="46" t="s">
        <v>27</v>
      </c>
      <c r="I12" s="46" t="s">
        <v>27</v>
      </c>
      <c r="J12" s="47"/>
      <c r="K12" s="47"/>
      <c r="L12" s="47"/>
      <c r="M12" s="47"/>
      <c r="N12" s="47"/>
      <c r="O12" s="79"/>
      <c r="P12" s="79"/>
      <c r="Q12" s="34"/>
      <c r="R12" s="34"/>
      <c r="S12" s="34"/>
    </row>
    <row r="13" spans="2:19" ht="21" customHeight="1" x14ac:dyDescent="0.3">
      <c r="B13" s="189" t="s">
        <v>2</v>
      </c>
      <c r="C13" s="190"/>
      <c r="D13" s="45">
        <v>6</v>
      </c>
      <c r="E13" s="198" t="s">
        <v>28</v>
      </c>
      <c r="F13" s="199"/>
      <c r="G13" s="199"/>
      <c r="H13" s="199"/>
      <c r="I13" s="200"/>
      <c r="J13" s="43"/>
      <c r="K13" s="43"/>
      <c r="L13" s="43"/>
      <c r="M13" s="43"/>
      <c r="N13" s="43"/>
      <c r="O13" s="79"/>
      <c r="P13" s="79"/>
      <c r="Q13" s="34"/>
      <c r="R13" s="34"/>
      <c r="S13" s="34"/>
    </row>
    <row r="14" spans="2:19" ht="20.25" customHeight="1" x14ac:dyDescent="0.3">
      <c r="B14" s="189" t="s">
        <v>3</v>
      </c>
      <c r="C14" s="190"/>
      <c r="D14" s="41">
        <v>7</v>
      </c>
      <c r="E14" s="51" t="s">
        <v>29</v>
      </c>
      <c r="F14" s="51" t="s">
        <v>30</v>
      </c>
      <c r="G14" s="51" t="s">
        <v>31</v>
      </c>
      <c r="H14" s="51" t="s">
        <v>32</v>
      </c>
      <c r="I14" s="51" t="s">
        <v>33</v>
      </c>
      <c r="J14" s="43"/>
      <c r="K14" s="43"/>
      <c r="L14" s="43"/>
      <c r="M14" s="43"/>
      <c r="N14" s="43"/>
      <c r="O14" s="79"/>
      <c r="P14" s="79"/>
      <c r="Q14" s="34"/>
      <c r="R14" s="34"/>
      <c r="S14" s="34"/>
    </row>
    <row r="15" spans="2:19" ht="48.75" customHeight="1" x14ac:dyDescent="0.3">
      <c r="B15" s="202" t="s">
        <v>15</v>
      </c>
      <c r="C15" s="81" t="s">
        <v>35</v>
      </c>
      <c r="D15" s="45">
        <v>8</v>
      </c>
      <c r="E15" s="68">
        <f>E11*6.52/1000</f>
        <v>154.35839199999998</v>
      </c>
      <c r="F15" s="68">
        <f t="shared" ref="F15:I15" si="0">F11*6.52/1000</f>
        <v>140.09393599999999</v>
      </c>
      <c r="G15" s="68">
        <f t="shared" si="0"/>
        <v>166.25804399999998</v>
      </c>
      <c r="H15" s="68">
        <f t="shared" si="0"/>
        <v>133.09015199999996</v>
      </c>
      <c r="I15" s="68">
        <f t="shared" si="0"/>
        <v>107.29051199999999</v>
      </c>
      <c r="J15" s="47"/>
      <c r="K15" s="47"/>
      <c r="L15" s="47"/>
      <c r="M15" s="47"/>
      <c r="N15" s="47"/>
      <c r="O15" s="79"/>
      <c r="P15" s="79"/>
      <c r="Q15" s="54">
        <f>SUM(E15:I15)</f>
        <v>701.09103599999992</v>
      </c>
      <c r="R15" s="34"/>
      <c r="S15" s="34"/>
    </row>
    <row r="16" spans="2:19" ht="48.75" customHeight="1" x14ac:dyDescent="0.35">
      <c r="B16" s="203"/>
      <c r="C16" s="81" t="s">
        <v>36</v>
      </c>
      <c r="D16" s="41">
        <v>9</v>
      </c>
      <c r="E16" s="69">
        <f>E19-'авг 2018'!E19</f>
        <v>331.6219600000004</v>
      </c>
      <c r="F16" s="69">
        <f>F19-'авг 2018'!F19</f>
        <v>299.71483999999964</v>
      </c>
      <c r="G16" s="69">
        <f>G19-'авг 2018'!G19</f>
        <v>341.03982000000087</v>
      </c>
      <c r="H16" s="69">
        <f>H19-'авг 2018'!H19</f>
        <v>263.46461999999974</v>
      </c>
      <c r="I16" s="69">
        <f>I19-'авг 2018'!I19</f>
        <v>231.70526000000018</v>
      </c>
      <c r="J16" s="43"/>
      <c r="K16" s="43"/>
      <c r="L16" s="43"/>
      <c r="M16" s="43"/>
      <c r="N16" s="43"/>
      <c r="O16" s="79"/>
      <c r="P16" s="79"/>
      <c r="Q16" s="67">
        <f>SUM(E16:I16)</f>
        <v>1467.5465000000008</v>
      </c>
      <c r="R16" s="154">
        <f>100*Q16/Q15</f>
        <v>209.32324400735897</v>
      </c>
      <c r="S16" s="34"/>
    </row>
    <row r="17" spans="2:20" ht="48.75" customHeight="1" x14ac:dyDescent="0.3">
      <c r="B17" s="204"/>
      <c r="C17" s="55" t="s">
        <v>37</v>
      </c>
      <c r="D17" s="45">
        <v>10</v>
      </c>
      <c r="E17" s="69">
        <v>0</v>
      </c>
      <c r="F17" s="69">
        <v>0</v>
      </c>
      <c r="G17" s="69">
        <v>0</v>
      </c>
      <c r="H17" s="69">
        <v>0</v>
      </c>
      <c r="I17" s="69">
        <v>0</v>
      </c>
      <c r="J17" s="43"/>
      <c r="K17" s="43"/>
      <c r="L17" s="43"/>
      <c r="M17" s="43"/>
      <c r="N17" s="43"/>
      <c r="O17" s="79"/>
      <c r="P17" s="79"/>
      <c r="Q17" s="54">
        <f t="shared" ref="Q17:Q20" si="1">SUM(E17:I17)</f>
        <v>0</v>
      </c>
      <c r="R17" s="34"/>
      <c r="S17" s="34"/>
    </row>
    <row r="18" spans="2:20" ht="48.75" customHeight="1" x14ac:dyDescent="0.3">
      <c r="B18" s="205" t="s">
        <v>16</v>
      </c>
      <c r="C18" s="81" t="s">
        <v>35</v>
      </c>
      <c r="D18" s="41">
        <v>11</v>
      </c>
      <c r="E18" s="69">
        <f>(E11*(5.84*23+6.27*24+6.52*3))/1000</f>
        <v>7205.6012559999981</v>
      </c>
      <c r="F18" s="69">
        <f t="shared" ref="F18:I18" si="2">(F11*(5.84*23+6.27*24+6.52*3))/1000</f>
        <v>6539.7224479999986</v>
      </c>
      <c r="G18" s="69">
        <f t="shared" si="2"/>
        <v>7761.0886919999984</v>
      </c>
      <c r="H18" s="69">
        <f t="shared" si="2"/>
        <v>6212.7789359999988</v>
      </c>
      <c r="I18" s="69">
        <f t="shared" si="2"/>
        <v>5008.4264159999993</v>
      </c>
      <c r="J18" s="43"/>
      <c r="K18" s="43"/>
      <c r="L18" s="43"/>
      <c r="M18" s="43"/>
      <c r="N18" s="43"/>
      <c r="O18" s="79"/>
      <c r="P18" s="79"/>
      <c r="Q18" s="54">
        <f t="shared" si="1"/>
        <v>32727.617747999993</v>
      </c>
      <c r="R18" s="34"/>
      <c r="S18" s="34"/>
      <c r="T18" s="29" t="s">
        <v>45</v>
      </c>
    </row>
    <row r="19" spans="2:20" ht="48.75" customHeight="1" x14ac:dyDescent="0.3">
      <c r="B19" s="206"/>
      <c r="C19" s="81" t="s">
        <v>36</v>
      </c>
      <c r="D19" s="45">
        <v>12</v>
      </c>
      <c r="E19" s="77">
        <v>5845.92</v>
      </c>
      <c r="F19" s="77">
        <v>5040.82</v>
      </c>
      <c r="G19" s="77">
        <v>6264.09</v>
      </c>
      <c r="H19" s="77">
        <v>4903.03</v>
      </c>
      <c r="I19" s="77">
        <v>4001.3</v>
      </c>
      <c r="J19" s="47"/>
      <c r="K19" s="47"/>
      <c r="L19" s="47"/>
      <c r="M19" s="47"/>
      <c r="N19" s="47"/>
      <c r="O19" s="79"/>
      <c r="P19" s="79"/>
      <c r="Q19" s="54">
        <f t="shared" si="1"/>
        <v>26055.16</v>
      </c>
      <c r="R19" s="34"/>
      <c r="S19" s="34"/>
      <c r="T19" s="67">
        <f>Q19-'сент 2018'!Q19</f>
        <v>785.84192999999868</v>
      </c>
    </row>
    <row r="20" spans="2:20" ht="48.75" customHeight="1" x14ac:dyDescent="0.3">
      <c r="B20" s="206"/>
      <c r="C20" s="55" t="s">
        <v>37</v>
      </c>
      <c r="D20" s="41">
        <v>13</v>
      </c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43"/>
      <c r="K20" s="43"/>
      <c r="L20" s="43"/>
      <c r="M20" s="43"/>
      <c r="N20" s="43"/>
      <c r="O20" s="79"/>
      <c r="P20" s="79"/>
      <c r="Q20" s="54">
        <f t="shared" si="1"/>
        <v>0</v>
      </c>
      <c r="R20" s="34"/>
      <c r="S20" s="34"/>
    </row>
    <row r="21" spans="2:20" ht="41.25" customHeight="1" x14ac:dyDescent="0.3">
      <c r="B21" s="189" t="s">
        <v>17</v>
      </c>
      <c r="C21" s="197"/>
      <c r="D21" s="45">
        <v>14</v>
      </c>
      <c r="E21" s="71">
        <f>E19-E20</f>
        <v>5845.92</v>
      </c>
      <c r="F21" s="71">
        <f t="shared" ref="F21:I21" si="3">F19-F20</f>
        <v>5040.82</v>
      </c>
      <c r="G21" s="71">
        <f t="shared" si="3"/>
        <v>6264.09</v>
      </c>
      <c r="H21" s="71">
        <f t="shared" si="3"/>
        <v>4903.03</v>
      </c>
      <c r="I21" s="71">
        <f t="shared" si="3"/>
        <v>4001.3</v>
      </c>
      <c r="J21" s="43"/>
      <c r="K21" s="43"/>
      <c r="L21" s="43"/>
      <c r="M21" s="43"/>
      <c r="N21" s="43"/>
      <c r="O21" s="79"/>
      <c r="P21" s="79"/>
      <c r="Q21" s="54">
        <f>SUM(E21:I21)</f>
        <v>26055.16</v>
      </c>
      <c r="R21" s="34"/>
      <c r="S21" s="34"/>
    </row>
    <row r="22" spans="2:20" ht="43.5" customHeight="1" x14ac:dyDescent="0.3">
      <c r="B22" s="189" t="s">
        <v>4</v>
      </c>
      <c r="C22" s="190"/>
      <c r="D22" s="41">
        <v>15</v>
      </c>
      <c r="E22" s="50">
        <f>(1-E19/E18)*100</f>
        <v>18.869782099971346</v>
      </c>
      <c r="F22" s="50">
        <f t="shared" ref="F22:I22" si="4">(1-F19/F18)*100</f>
        <v>22.919970379758226</v>
      </c>
      <c r="G22" s="50">
        <f t="shared" si="4"/>
        <v>19.288514168676873</v>
      </c>
      <c r="H22" s="50">
        <f t="shared" si="4"/>
        <v>21.081531300118339</v>
      </c>
      <c r="I22" s="50">
        <f t="shared" si="4"/>
        <v>20.108639567561916</v>
      </c>
      <c r="J22" s="43"/>
      <c r="K22" s="43"/>
      <c r="L22" s="43"/>
      <c r="M22" s="43"/>
      <c r="N22" s="43"/>
      <c r="Q22" s="50">
        <f t="shared" ref="Q22" si="5">(1-Q19/Q18)*100</f>
        <v>20.387850406275753</v>
      </c>
    </row>
    <row r="23" spans="2:20" ht="43.5" customHeight="1" x14ac:dyDescent="0.3">
      <c r="B23" s="189" t="s">
        <v>5</v>
      </c>
      <c r="C23" s="190"/>
      <c r="D23" s="45">
        <v>16</v>
      </c>
      <c r="E23" s="48" t="s">
        <v>20</v>
      </c>
      <c r="F23" s="48" t="s">
        <v>20</v>
      </c>
      <c r="G23" s="48" t="s">
        <v>20</v>
      </c>
      <c r="H23" s="48" t="s">
        <v>20</v>
      </c>
      <c r="I23" s="48" t="s">
        <v>20</v>
      </c>
      <c r="J23" s="43"/>
      <c r="K23" s="43"/>
      <c r="L23" s="43"/>
      <c r="M23" s="43"/>
      <c r="N23" s="43"/>
    </row>
    <row r="24" spans="2:20" ht="230.25" customHeight="1" x14ac:dyDescent="0.3">
      <c r="B24" s="207" t="s">
        <v>40</v>
      </c>
      <c r="C24" s="208"/>
      <c r="D24" s="208"/>
      <c r="E24" s="208"/>
      <c r="F24" s="208"/>
      <c r="G24" s="209"/>
      <c r="H24" s="63" t="s">
        <v>60</v>
      </c>
    </row>
    <row r="25" spans="2:20" ht="84.75" customHeight="1" x14ac:dyDescent="0.3">
      <c r="B25" s="201" t="s">
        <v>47</v>
      </c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</row>
  </sheetData>
  <mergeCells count="19">
    <mergeCell ref="B25:Q25"/>
    <mergeCell ref="B15:B17"/>
    <mergeCell ref="B18:B20"/>
    <mergeCell ref="B21:C21"/>
    <mergeCell ref="B22:C22"/>
    <mergeCell ref="B23:C23"/>
    <mergeCell ref="B24:G24"/>
    <mergeCell ref="B14:C14"/>
    <mergeCell ref="B1:P1"/>
    <mergeCell ref="B3:P3"/>
    <mergeCell ref="B4:P4"/>
    <mergeCell ref="B6:P6"/>
    <mergeCell ref="B8:C8"/>
    <mergeCell ref="B9:C9"/>
    <mergeCell ref="B10:C10"/>
    <mergeCell ref="B11:C11"/>
    <mergeCell ref="B12:C12"/>
    <mergeCell ref="B13:C13"/>
    <mergeCell ref="E13:I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5"/>
  <sheetViews>
    <sheetView view="pageBreakPreview" topLeftCell="A10" zoomScale="51" zoomScaleNormal="51" zoomScaleSheetLayoutView="51" workbookViewId="0">
      <selection activeCell="R16" sqref="R16"/>
    </sheetView>
  </sheetViews>
  <sheetFormatPr defaultRowHeight="23.25" x14ac:dyDescent="0.35"/>
  <cols>
    <col min="1" max="1" width="0.42578125" style="84" customWidth="1"/>
    <col min="2" max="2" width="22.28515625" style="84" customWidth="1"/>
    <col min="3" max="3" width="99.5703125" style="84" customWidth="1"/>
    <col min="4" max="4" width="4.42578125" style="85" customWidth="1"/>
    <col min="5" max="5" width="38" style="86" customWidth="1"/>
    <col min="6" max="9" width="38" style="85" customWidth="1"/>
    <col min="10" max="10" width="0.140625" style="85" hidden="1" customWidth="1"/>
    <col min="11" max="11" width="3.5703125" style="85" hidden="1" customWidth="1"/>
    <col min="12" max="12" width="1.140625" style="85" customWidth="1"/>
    <col min="13" max="14" width="0.28515625" style="85" customWidth="1"/>
    <col min="15" max="15" width="0.7109375" style="84" customWidth="1"/>
    <col min="16" max="16" width="2.42578125" style="84" customWidth="1"/>
    <col min="17" max="17" width="23.42578125" style="84" customWidth="1"/>
    <col min="18" max="18" width="15.28515625" style="84" customWidth="1"/>
    <col min="19" max="19" width="9.140625" style="84"/>
    <col min="20" max="20" width="15.28515625" style="84" customWidth="1"/>
    <col min="21" max="16384" width="9.140625" style="84"/>
  </cols>
  <sheetData>
    <row r="1" spans="2:19" ht="63.75" customHeight="1" x14ac:dyDescent="0.35">
      <c r="B1" s="217" t="s">
        <v>9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</row>
    <row r="2" spans="2:19" ht="6.75" customHeight="1" x14ac:dyDescent="0.35">
      <c r="O2" s="87"/>
      <c r="P2" s="88"/>
    </row>
    <row r="3" spans="2:19" ht="55.5" customHeight="1" x14ac:dyDescent="0.35">
      <c r="B3" s="219" t="s">
        <v>11</v>
      </c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</row>
    <row r="4" spans="2:19" s="89" customFormat="1" ht="117.75" customHeight="1" x14ac:dyDescent="0.35">
      <c r="B4" s="220" t="s">
        <v>52</v>
      </c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</row>
    <row r="5" spans="2:19" ht="4.5" customHeight="1" x14ac:dyDescent="0.35">
      <c r="C5" s="90"/>
      <c r="D5" s="91"/>
      <c r="E5" s="92"/>
      <c r="F5" s="91"/>
      <c r="G5" s="91"/>
      <c r="H5" s="91"/>
      <c r="I5" s="91"/>
      <c r="J5" s="91"/>
      <c r="K5" s="91"/>
      <c r="L5" s="91"/>
      <c r="M5" s="91"/>
      <c r="N5" s="91"/>
      <c r="O5" s="93"/>
      <c r="P5" s="93"/>
    </row>
    <row r="6" spans="2:19" ht="38.25" customHeight="1" x14ac:dyDescent="0.35">
      <c r="B6" s="222" t="s">
        <v>12</v>
      </c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</row>
    <row r="7" spans="2:19" ht="9.75" customHeight="1" x14ac:dyDescent="0.35">
      <c r="C7" s="94"/>
      <c r="D7" s="94"/>
      <c r="E7" s="95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</row>
    <row r="8" spans="2:19" s="99" customFormat="1" ht="25.5" customHeight="1" x14ac:dyDescent="0.25">
      <c r="B8" s="215" t="s">
        <v>6</v>
      </c>
      <c r="C8" s="223"/>
      <c r="D8" s="96">
        <v>1</v>
      </c>
      <c r="E8" s="97">
        <v>1</v>
      </c>
      <c r="F8" s="96">
        <v>2</v>
      </c>
      <c r="G8" s="97">
        <v>3</v>
      </c>
      <c r="H8" s="96">
        <v>4</v>
      </c>
      <c r="I8" s="97">
        <v>5</v>
      </c>
      <c r="J8" s="98"/>
      <c r="K8" s="98"/>
      <c r="L8" s="98"/>
      <c r="M8" s="98"/>
      <c r="N8" s="98"/>
      <c r="O8" s="98"/>
      <c r="P8" s="91"/>
    </row>
    <row r="9" spans="2:19" ht="20.25" customHeight="1" x14ac:dyDescent="0.35">
      <c r="B9" s="215" t="s">
        <v>8</v>
      </c>
      <c r="C9" s="216"/>
      <c r="D9" s="100">
        <v>2</v>
      </c>
      <c r="E9" s="101"/>
      <c r="F9" s="100"/>
      <c r="G9" s="100"/>
      <c r="H9" s="100"/>
      <c r="I9" s="100"/>
      <c r="J9" s="102"/>
      <c r="K9" s="102"/>
      <c r="L9" s="102"/>
      <c r="M9" s="102"/>
      <c r="N9" s="102"/>
      <c r="O9" s="90"/>
      <c r="P9" s="90"/>
      <c r="Q9" s="89"/>
      <c r="R9" s="89"/>
      <c r="S9" s="89"/>
    </row>
    <row r="10" spans="2:19" ht="35.25" customHeight="1" x14ac:dyDescent="0.35">
      <c r="B10" s="215" t="s">
        <v>23</v>
      </c>
      <c r="C10" s="216"/>
      <c r="D10" s="96">
        <v>3</v>
      </c>
      <c r="E10" s="103" t="s">
        <v>22</v>
      </c>
      <c r="F10" s="96" t="s">
        <v>24</v>
      </c>
      <c r="G10" s="96" t="s">
        <v>25</v>
      </c>
      <c r="H10" s="104" t="s">
        <v>26</v>
      </c>
      <c r="I10" s="104" t="s">
        <v>34</v>
      </c>
      <c r="J10" s="98"/>
      <c r="K10" s="98"/>
      <c r="L10" s="98"/>
      <c r="M10" s="98"/>
      <c r="N10" s="98"/>
      <c r="O10" s="90"/>
      <c r="P10" s="90"/>
      <c r="Q10" s="89"/>
      <c r="R10" s="89"/>
      <c r="S10" s="89"/>
    </row>
    <row r="11" spans="2:19" ht="20.25" customHeight="1" x14ac:dyDescent="0.35">
      <c r="B11" s="215" t="s">
        <v>0</v>
      </c>
      <c r="C11" s="216"/>
      <c r="D11" s="100">
        <v>4</v>
      </c>
      <c r="E11" s="105">
        <v>23738.799999999999</v>
      </c>
      <c r="F11" s="105">
        <v>21487.1</v>
      </c>
      <c r="G11" s="105">
        <v>25499.9</v>
      </c>
      <c r="H11" s="105">
        <v>20412.8</v>
      </c>
      <c r="I11" s="105">
        <v>16460.2</v>
      </c>
      <c r="J11" s="98"/>
      <c r="K11" s="98"/>
      <c r="L11" s="98"/>
      <c r="M11" s="98"/>
      <c r="N11" s="98"/>
      <c r="O11" s="90"/>
      <c r="P11" s="90"/>
      <c r="Q11" s="106">
        <f>E11+F11+G11+H11+I11</f>
        <v>107598.79999999999</v>
      </c>
      <c r="R11" s="89"/>
      <c r="S11" s="89"/>
    </row>
    <row r="12" spans="2:19" ht="50.25" customHeight="1" x14ac:dyDescent="0.35">
      <c r="B12" s="215" t="s">
        <v>1</v>
      </c>
      <c r="C12" s="216"/>
      <c r="D12" s="96">
        <v>5</v>
      </c>
      <c r="E12" s="101" t="s">
        <v>27</v>
      </c>
      <c r="F12" s="101" t="s">
        <v>27</v>
      </c>
      <c r="G12" s="101" t="s">
        <v>27</v>
      </c>
      <c r="H12" s="101" t="s">
        <v>27</v>
      </c>
      <c r="I12" s="101" t="s">
        <v>27</v>
      </c>
      <c r="J12" s="102"/>
      <c r="K12" s="102"/>
      <c r="L12" s="102"/>
      <c r="M12" s="102"/>
      <c r="N12" s="102"/>
      <c r="O12" s="90"/>
      <c r="P12" s="90"/>
      <c r="Q12" s="89"/>
      <c r="R12" s="89"/>
      <c r="S12" s="89"/>
    </row>
    <row r="13" spans="2:19" ht="21" customHeight="1" x14ac:dyDescent="0.35">
      <c r="B13" s="215" t="s">
        <v>2</v>
      </c>
      <c r="C13" s="216"/>
      <c r="D13" s="100">
        <v>6</v>
      </c>
      <c r="E13" s="224" t="s">
        <v>28</v>
      </c>
      <c r="F13" s="225"/>
      <c r="G13" s="225"/>
      <c r="H13" s="225"/>
      <c r="I13" s="226"/>
      <c r="J13" s="98"/>
      <c r="K13" s="98"/>
      <c r="L13" s="98"/>
      <c r="M13" s="98"/>
      <c r="N13" s="98"/>
      <c r="O13" s="90"/>
      <c r="P13" s="90"/>
      <c r="Q13" s="89"/>
      <c r="R13" s="89"/>
      <c r="S13" s="89"/>
    </row>
    <row r="14" spans="2:19" ht="20.25" customHeight="1" x14ac:dyDescent="0.35">
      <c r="B14" s="215" t="s">
        <v>3</v>
      </c>
      <c r="C14" s="216"/>
      <c r="D14" s="96">
        <v>7</v>
      </c>
      <c r="E14" s="107" t="s">
        <v>29</v>
      </c>
      <c r="F14" s="107" t="s">
        <v>30</v>
      </c>
      <c r="G14" s="107" t="s">
        <v>31</v>
      </c>
      <c r="H14" s="107" t="s">
        <v>32</v>
      </c>
      <c r="I14" s="107" t="s">
        <v>33</v>
      </c>
      <c r="J14" s="98"/>
      <c r="K14" s="98"/>
      <c r="L14" s="98"/>
      <c r="M14" s="98"/>
      <c r="N14" s="98"/>
      <c r="O14" s="90"/>
      <c r="P14" s="90"/>
      <c r="Q14" s="89"/>
      <c r="R14" s="89"/>
      <c r="S14" s="89"/>
    </row>
    <row r="15" spans="2:19" ht="48.75" customHeight="1" x14ac:dyDescent="0.35">
      <c r="B15" s="228" t="s">
        <v>15</v>
      </c>
      <c r="C15" s="108" t="s">
        <v>35</v>
      </c>
      <c r="D15" s="100">
        <v>8</v>
      </c>
      <c r="E15" s="109">
        <f>E11*6.52/1000</f>
        <v>154.77697599999999</v>
      </c>
      <c r="F15" s="109">
        <f>F11*6.52/1000</f>
        <v>140.09589199999999</v>
      </c>
      <c r="G15" s="109">
        <f>G11*6.52/1000</f>
        <v>166.25934799999999</v>
      </c>
      <c r="H15" s="109">
        <f>H11*6.52/1000</f>
        <v>133.09145599999997</v>
      </c>
      <c r="I15" s="109">
        <f>I11*6.52/1000</f>
        <v>107.320504</v>
      </c>
      <c r="J15" s="102"/>
      <c r="K15" s="102"/>
      <c r="L15" s="102"/>
      <c r="M15" s="102"/>
      <c r="N15" s="102"/>
      <c r="O15" s="90"/>
      <c r="P15" s="90"/>
      <c r="Q15" s="110">
        <f>SUM(E15:I15)</f>
        <v>701.54417599999999</v>
      </c>
      <c r="R15" s="89"/>
      <c r="S15" s="89"/>
    </row>
    <row r="16" spans="2:19" ht="48.75" customHeight="1" x14ac:dyDescent="0.35">
      <c r="B16" s="229"/>
      <c r="C16" s="108" t="s">
        <v>36</v>
      </c>
      <c r="D16" s="96">
        <v>9</v>
      </c>
      <c r="E16" s="111">
        <f>E19-'Октябрь 2018'!E19</f>
        <v>188.35717999999997</v>
      </c>
      <c r="F16" s="111">
        <f>F19-'Октябрь 2018'!F19</f>
        <v>111.3155999999999</v>
      </c>
      <c r="G16" s="111">
        <f>G19-'Октябрь 2018'!G19</f>
        <v>154.47386000000006</v>
      </c>
      <c r="H16" s="111">
        <f>H19-'Октябрь 2018'!H19</f>
        <v>130.05723000000035</v>
      </c>
      <c r="I16" s="111">
        <f>I19-'Октябрь 2018'!I19</f>
        <v>126.99049999999988</v>
      </c>
      <c r="J16" s="98"/>
      <c r="K16" s="98"/>
      <c r="L16" s="98"/>
      <c r="M16" s="98"/>
      <c r="N16" s="98"/>
      <c r="O16" s="90"/>
      <c r="P16" s="90"/>
      <c r="Q16" s="112">
        <f>SUM(E16:I16)</f>
        <v>711.19437000000016</v>
      </c>
      <c r="R16" s="154">
        <f>100*Q16/Q15</f>
        <v>101.37556469430376</v>
      </c>
      <c r="S16" s="89"/>
    </row>
    <row r="17" spans="2:20" ht="67.5" customHeight="1" x14ac:dyDescent="0.35">
      <c r="B17" s="230"/>
      <c r="C17" s="113" t="s">
        <v>53</v>
      </c>
      <c r="D17" s="100">
        <v>10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98"/>
      <c r="K17" s="98"/>
      <c r="L17" s="98"/>
      <c r="M17" s="98"/>
      <c r="N17" s="98"/>
      <c r="O17" s="90"/>
      <c r="P17" s="90"/>
      <c r="Q17" s="110">
        <f t="shared" ref="Q17:Q20" si="0">SUM(E17:I17)</f>
        <v>0</v>
      </c>
      <c r="R17" s="89"/>
      <c r="S17" s="89"/>
    </row>
    <row r="18" spans="2:20" ht="48.75" customHeight="1" x14ac:dyDescent="0.35">
      <c r="B18" s="231" t="s">
        <v>16</v>
      </c>
      <c r="C18" s="108" t="s">
        <v>35</v>
      </c>
      <c r="D18" s="96">
        <v>11</v>
      </c>
      <c r="E18" s="111">
        <f>(E11*(5.84*23+6.27*24+6.52*5))/1000</f>
        <v>7534.6951199999994</v>
      </c>
      <c r="F18" s="111">
        <f>(F11*(5.84*23+6.27*24+6.52*5))/1000</f>
        <v>6820.0055399999992</v>
      </c>
      <c r="G18" s="111">
        <f t="shared" ref="G18:I18" si="1">(G11*(5.84*23+6.27*24+6.52*5))/1000</f>
        <v>8093.6682599999995</v>
      </c>
      <c r="H18" s="111">
        <f t="shared" si="1"/>
        <v>6479.0227199999999</v>
      </c>
      <c r="I18" s="111">
        <f t="shared" si="1"/>
        <v>5224.4674799999993</v>
      </c>
      <c r="J18" s="98"/>
      <c r="K18" s="98"/>
      <c r="L18" s="98"/>
      <c r="M18" s="98"/>
      <c r="N18" s="98"/>
      <c r="O18" s="90"/>
      <c r="P18" s="90"/>
      <c r="Q18" s="110">
        <f t="shared" si="0"/>
        <v>34151.859119999994</v>
      </c>
      <c r="R18" s="89"/>
      <c r="S18" s="89"/>
      <c r="T18" s="84" t="s">
        <v>45</v>
      </c>
    </row>
    <row r="19" spans="2:20" ht="48.75" customHeight="1" x14ac:dyDescent="0.35">
      <c r="B19" s="232"/>
      <c r="C19" s="108" t="s">
        <v>36</v>
      </c>
      <c r="D19" s="100">
        <v>12</v>
      </c>
      <c r="E19" s="114">
        <f>6034277.18/1000</f>
        <v>6034.27718</v>
      </c>
      <c r="F19" s="114">
        <f>5152135.6/1000</f>
        <v>5152.1355999999996</v>
      </c>
      <c r="G19" s="114">
        <f>6418563.86/1000</f>
        <v>6418.5638600000002</v>
      </c>
      <c r="H19" s="114">
        <f>5033087.23/1000</f>
        <v>5033.0872300000001</v>
      </c>
      <c r="I19" s="114">
        <f>4128290.5/1000</f>
        <v>4128.2905000000001</v>
      </c>
      <c r="J19" s="102"/>
      <c r="K19" s="102"/>
      <c r="L19" s="102"/>
      <c r="M19" s="102"/>
      <c r="N19" s="102"/>
      <c r="O19" s="90"/>
      <c r="P19" s="90"/>
      <c r="Q19" s="110">
        <f t="shared" si="0"/>
        <v>26766.354370000001</v>
      </c>
      <c r="R19" s="89"/>
      <c r="S19" s="89"/>
      <c r="T19" s="112">
        <f>Q19-'Октябрь 2018'!Q19</f>
        <v>711.19437000000107</v>
      </c>
    </row>
    <row r="20" spans="2:20" ht="48.75" customHeight="1" x14ac:dyDescent="0.35">
      <c r="B20" s="232"/>
      <c r="C20" s="113" t="s">
        <v>53</v>
      </c>
      <c r="D20" s="96">
        <v>13</v>
      </c>
      <c r="E20" s="103">
        <v>0</v>
      </c>
      <c r="F20" s="103">
        <v>0</v>
      </c>
      <c r="G20" s="103">
        <v>0</v>
      </c>
      <c r="H20" s="103">
        <v>0</v>
      </c>
      <c r="I20" s="103">
        <v>0</v>
      </c>
      <c r="J20" s="98"/>
      <c r="K20" s="98"/>
      <c r="L20" s="98"/>
      <c r="M20" s="98"/>
      <c r="N20" s="98"/>
      <c r="O20" s="90"/>
      <c r="P20" s="90"/>
      <c r="Q20" s="110">
        <f t="shared" si="0"/>
        <v>0</v>
      </c>
      <c r="R20" s="89"/>
      <c r="S20" s="89"/>
    </row>
    <row r="21" spans="2:20" ht="41.25" customHeight="1" x14ac:dyDescent="0.35">
      <c r="B21" s="215" t="s">
        <v>17</v>
      </c>
      <c r="C21" s="223"/>
      <c r="D21" s="100">
        <v>14</v>
      </c>
      <c r="E21" s="115">
        <f>E19-E20</f>
        <v>6034.27718</v>
      </c>
      <c r="F21" s="115">
        <f t="shared" ref="F21:I21" si="2">F19-F20</f>
        <v>5152.1355999999996</v>
      </c>
      <c r="G21" s="115">
        <f t="shared" si="2"/>
        <v>6418.5638600000002</v>
      </c>
      <c r="H21" s="115">
        <f t="shared" si="2"/>
        <v>5033.0872300000001</v>
      </c>
      <c r="I21" s="115">
        <f t="shared" si="2"/>
        <v>4128.2905000000001</v>
      </c>
      <c r="J21" s="98"/>
      <c r="K21" s="98"/>
      <c r="L21" s="98"/>
      <c r="M21" s="98"/>
      <c r="N21" s="98"/>
      <c r="O21" s="90"/>
      <c r="P21" s="90"/>
      <c r="Q21" s="110">
        <f>SUM(E21:I21)</f>
        <v>26766.354370000001</v>
      </c>
      <c r="R21" s="89"/>
      <c r="S21" s="89"/>
    </row>
    <row r="22" spans="2:20" ht="43.5" customHeight="1" x14ac:dyDescent="0.35">
      <c r="B22" s="215" t="s">
        <v>4</v>
      </c>
      <c r="C22" s="216"/>
      <c r="D22" s="96">
        <v>15</v>
      </c>
      <c r="E22" s="116">
        <f>(1-E19/E18)*100</f>
        <v>19.913452583068814</v>
      </c>
      <c r="F22" s="116">
        <f t="shared" ref="F22:I22" si="3">(1-F19/F18)*100</f>
        <v>24.455551102088979</v>
      </c>
      <c r="G22" s="116">
        <f t="shared" si="3"/>
        <v>20.696479596014473</v>
      </c>
      <c r="H22" s="116">
        <f t="shared" si="3"/>
        <v>22.317185052254295</v>
      </c>
      <c r="I22" s="116">
        <f t="shared" si="3"/>
        <v>20.981602128758958</v>
      </c>
      <c r="J22" s="98"/>
      <c r="K22" s="98"/>
      <c r="L22" s="98"/>
      <c r="M22" s="98"/>
      <c r="N22" s="98"/>
      <c r="Q22" s="116">
        <f t="shared" ref="Q22" si="4">(1-Q19/Q18)*100</f>
        <v>21.625483766635988</v>
      </c>
    </row>
    <row r="23" spans="2:20" ht="43.5" customHeight="1" x14ac:dyDescent="0.35">
      <c r="B23" s="215" t="s">
        <v>5</v>
      </c>
      <c r="C23" s="216"/>
      <c r="D23" s="100">
        <v>16</v>
      </c>
      <c r="E23" s="103" t="s">
        <v>20</v>
      </c>
      <c r="F23" s="103" t="s">
        <v>20</v>
      </c>
      <c r="G23" s="103" t="s">
        <v>20</v>
      </c>
      <c r="H23" s="103" t="s">
        <v>20</v>
      </c>
      <c r="I23" s="103" t="s">
        <v>20</v>
      </c>
      <c r="J23" s="98"/>
      <c r="K23" s="98"/>
      <c r="L23" s="98"/>
      <c r="M23" s="98"/>
      <c r="N23" s="98"/>
    </row>
    <row r="24" spans="2:20" ht="230.25" customHeight="1" x14ac:dyDescent="0.35">
      <c r="B24" s="233" t="s">
        <v>40</v>
      </c>
      <c r="C24" s="234"/>
      <c r="D24" s="234"/>
      <c r="E24" s="234"/>
      <c r="F24" s="234"/>
      <c r="G24" s="235"/>
      <c r="H24" s="63" t="s">
        <v>51</v>
      </c>
    </row>
    <row r="25" spans="2:20" ht="84.75" customHeight="1" x14ac:dyDescent="0.35">
      <c r="B25" s="227" t="s">
        <v>47</v>
      </c>
      <c r="C25" s="218"/>
      <c r="D25" s="218"/>
      <c r="E25" s="218"/>
      <c r="F25" s="218"/>
      <c r="G25" s="218"/>
      <c r="H25" s="218"/>
      <c r="I25" s="218"/>
      <c r="J25" s="218"/>
      <c r="K25" s="218"/>
      <c r="L25" s="218"/>
      <c r="M25" s="218"/>
      <c r="N25" s="218"/>
      <c r="O25" s="218"/>
      <c r="P25" s="218"/>
      <c r="Q25" s="218"/>
    </row>
  </sheetData>
  <mergeCells count="19">
    <mergeCell ref="B25:Q25"/>
    <mergeCell ref="B15:B17"/>
    <mergeCell ref="B18:B20"/>
    <mergeCell ref="B21:C21"/>
    <mergeCell ref="B22:C22"/>
    <mergeCell ref="B23:C23"/>
    <mergeCell ref="B24:G24"/>
    <mergeCell ref="B14:C14"/>
    <mergeCell ref="B1:P1"/>
    <mergeCell ref="B3:P3"/>
    <mergeCell ref="B4:P4"/>
    <mergeCell ref="B6:P6"/>
    <mergeCell ref="B8:C8"/>
    <mergeCell ref="B9:C9"/>
    <mergeCell ref="B10:C10"/>
    <mergeCell ref="B11:C11"/>
    <mergeCell ref="B12:C12"/>
    <mergeCell ref="B13:C13"/>
    <mergeCell ref="E13:I13"/>
  </mergeCells>
  <pageMargins left="0.23622047244094491" right="0.23622047244094491" top="0.74803149606299213" bottom="0.74803149606299213" header="0.31496062992125984" footer="0.31496062992125984"/>
  <pageSetup paperSize="9" scale="40" orientation="landscape" r:id="rId1"/>
  <colBreaks count="1" manualBreakCount="1">
    <brk id="17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5"/>
  <sheetViews>
    <sheetView topLeftCell="A10" zoomScale="50" zoomScaleNormal="50" workbookViewId="0">
      <selection activeCell="R16" sqref="R16"/>
    </sheetView>
  </sheetViews>
  <sheetFormatPr defaultRowHeight="23.25" x14ac:dyDescent="0.35"/>
  <cols>
    <col min="1" max="1" width="0.42578125" style="84" customWidth="1"/>
    <col min="2" max="2" width="22.28515625" style="84" customWidth="1"/>
    <col min="3" max="3" width="99.5703125" style="84" customWidth="1"/>
    <col min="4" max="4" width="7" style="85" customWidth="1"/>
    <col min="5" max="5" width="38" style="86" customWidth="1"/>
    <col min="6" max="9" width="38" style="85" customWidth="1"/>
    <col min="10" max="10" width="0.140625" style="85" hidden="1" customWidth="1"/>
    <col min="11" max="11" width="3.5703125" style="85" hidden="1" customWidth="1"/>
    <col min="12" max="12" width="1.140625" style="85" customWidth="1"/>
    <col min="13" max="14" width="0.28515625" style="85" customWidth="1"/>
    <col min="15" max="15" width="0.7109375" style="84" customWidth="1"/>
    <col min="16" max="16" width="2.42578125" style="84" customWidth="1"/>
    <col min="17" max="17" width="23.42578125" style="84" customWidth="1"/>
    <col min="18" max="18" width="15.28515625" style="84" customWidth="1"/>
    <col min="19" max="19" width="9.140625" style="84"/>
    <col min="20" max="20" width="15.28515625" style="84" customWidth="1"/>
    <col min="21" max="16384" width="9.140625" style="84"/>
  </cols>
  <sheetData>
    <row r="1" spans="2:19" ht="63.75" customHeight="1" x14ac:dyDescent="0.35">
      <c r="B1" s="217" t="s">
        <v>9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</row>
    <row r="2" spans="2:19" ht="6.75" customHeight="1" x14ac:dyDescent="0.35">
      <c r="O2" s="118"/>
      <c r="P2" s="119"/>
    </row>
    <row r="3" spans="2:19" ht="55.5" customHeight="1" x14ac:dyDescent="0.35">
      <c r="B3" s="219" t="s">
        <v>11</v>
      </c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</row>
    <row r="4" spans="2:19" s="89" customFormat="1" ht="117.75" customHeight="1" x14ac:dyDescent="0.35">
      <c r="B4" s="220" t="s">
        <v>56</v>
      </c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</row>
    <row r="5" spans="2:19" ht="4.5" customHeight="1" x14ac:dyDescent="0.35">
      <c r="C5" s="121"/>
      <c r="D5" s="91"/>
      <c r="E5" s="92"/>
      <c r="F5" s="91"/>
      <c r="G5" s="91"/>
      <c r="H5" s="91"/>
      <c r="I5" s="91"/>
      <c r="J5" s="91"/>
      <c r="K5" s="91"/>
      <c r="L5" s="91"/>
      <c r="M5" s="91"/>
      <c r="N5" s="91"/>
      <c r="O5" s="93"/>
      <c r="P5" s="93"/>
    </row>
    <row r="6" spans="2:19" ht="38.25" customHeight="1" x14ac:dyDescent="0.35">
      <c r="B6" s="222" t="s">
        <v>12</v>
      </c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</row>
    <row r="7" spans="2:19" ht="9.75" customHeight="1" x14ac:dyDescent="0.35">
      <c r="C7" s="120"/>
      <c r="D7" s="120"/>
      <c r="E7" s="95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</row>
    <row r="8" spans="2:19" s="99" customFormat="1" ht="25.5" customHeight="1" x14ac:dyDescent="0.25">
      <c r="B8" s="215" t="s">
        <v>6</v>
      </c>
      <c r="C8" s="223"/>
      <c r="D8" s="96">
        <v>1</v>
      </c>
      <c r="E8" s="97">
        <v>1</v>
      </c>
      <c r="F8" s="96">
        <v>2</v>
      </c>
      <c r="G8" s="97">
        <v>3</v>
      </c>
      <c r="H8" s="96">
        <v>4</v>
      </c>
      <c r="I8" s="97">
        <v>5</v>
      </c>
      <c r="J8" s="98"/>
      <c r="K8" s="98"/>
      <c r="L8" s="98"/>
      <c r="M8" s="98"/>
      <c r="N8" s="98"/>
      <c r="O8" s="98"/>
      <c r="P8" s="91"/>
    </row>
    <row r="9" spans="2:19" ht="20.25" customHeight="1" x14ac:dyDescent="0.35">
      <c r="B9" s="215" t="s">
        <v>8</v>
      </c>
      <c r="C9" s="216"/>
      <c r="D9" s="100">
        <v>2</v>
      </c>
      <c r="E9" s="101"/>
      <c r="F9" s="100"/>
      <c r="G9" s="100"/>
      <c r="H9" s="100"/>
      <c r="I9" s="100"/>
      <c r="J9" s="102"/>
      <c r="K9" s="102"/>
      <c r="L9" s="102"/>
      <c r="M9" s="102"/>
      <c r="N9" s="102"/>
      <c r="O9" s="121"/>
      <c r="P9" s="121"/>
      <c r="Q9" s="89"/>
      <c r="R9" s="89"/>
      <c r="S9" s="89"/>
    </row>
    <row r="10" spans="2:19" ht="35.25" customHeight="1" x14ac:dyDescent="0.35">
      <c r="B10" s="215" t="s">
        <v>23</v>
      </c>
      <c r="C10" s="216"/>
      <c r="D10" s="96">
        <v>3</v>
      </c>
      <c r="E10" s="103" t="s">
        <v>22</v>
      </c>
      <c r="F10" s="96" t="s">
        <v>24</v>
      </c>
      <c r="G10" s="96" t="s">
        <v>25</v>
      </c>
      <c r="H10" s="104" t="s">
        <v>26</v>
      </c>
      <c r="I10" s="104" t="s">
        <v>34</v>
      </c>
      <c r="J10" s="98"/>
      <c r="K10" s="98"/>
      <c r="L10" s="98"/>
      <c r="M10" s="98"/>
      <c r="N10" s="98"/>
      <c r="O10" s="121"/>
      <c r="P10" s="121"/>
      <c r="Q10" s="89"/>
      <c r="R10" s="89"/>
      <c r="S10" s="89"/>
    </row>
    <row r="11" spans="2:19" ht="20.25" customHeight="1" x14ac:dyDescent="0.35">
      <c r="B11" s="215" t="s">
        <v>0</v>
      </c>
      <c r="C11" s="216"/>
      <c r="D11" s="100">
        <v>4</v>
      </c>
      <c r="E11" s="105">
        <v>23738.799999999999</v>
      </c>
      <c r="F11" s="105">
        <v>21487.1</v>
      </c>
      <c r="G11" s="105">
        <v>25499.9</v>
      </c>
      <c r="H11" s="105">
        <v>20412.8</v>
      </c>
      <c r="I11" s="105">
        <v>16460.2</v>
      </c>
      <c r="J11" s="98"/>
      <c r="K11" s="98"/>
      <c r="L11" s="98"/>
      <c r="M11" s="98"/>
      <c r="N11" s="98"/>
      <c r="O11" s="121"/>
      <c r="P11" s="121"/>
      <c r="Q11" s="106">
        <f>E11+F11+G11+H11+I11</f>
        <v>107598.79999999999</v>
      </c>
      <c r="R11" s="89"/>
      <c r="S11" s="89"/>
    </row>
    <row r="12" spans="2:19" ht="50.25" customHeight="1" x14ac:dyDescent="0.35">
      <c r="B12" s="215" t="s">
        <v>1</v>
      </c>
      <c r="C12" s="216"/>
      <c r="D12" s="96">
        <v>5</v>
      </c>
      <c r="E12" s="101" t="s">
        <v>27</v>
      </c>
      <c r="F12" s="101" t="s">
        <v>27</v>
      </c>
      <c r="G12" s="101" t="s">
        <v>27</v>
      </c>
      <c r="H12" s="101" t="s">
        <v>27</v>
      </c>
      <c r="I12" s="101" t="s">
        <v>27</v>
      </c>
      <c r="J12" s="102"/>
      <c r="K12" s="102"/>
      <c r="L12" s="102"/>
      <c r="M12" s="102"/>
      <c r="N12" s="102"/>
      <c r="O12" s="121"/>
      <c r="P12" s="121"/>
      <c r="Q12" s="89"/>
      <c r="R12" s="89"/>
      <c r="S12" s="89"/>
    </row>
    <row r="13" spans="2:19" ht="21" customHeight="1" x14ac:dyDescent="0.35">
      <c r="B13" s="215" t="s">
        <v>2</v>
      </c>
      <c r="C13" s="216"/>
      <c r="D13" s="100">
        <v>6</v>
      </c>
      <c r="E13" s="224" t="s">
        <v>28</v>
      </c>
      <c r="F13" s="225"/>
      <c r="G13" s="225"/>
      <c r="H13" s="225"/>
      <c r="I13" s="226"/>
      <c r="J13" s="98"/>
      <c r="K13" s="98"/>
      <c r="L13" s="98"/>
      <c r="M13" s="98"/>
      <c r="N13" s="98"/>
      <c r="O13" s="121"/>
      <c r="P13" s="121"/>
      <c r="Q13" s="89"/>
      <c r="R13" s="89"/>
      <c r="S13" s="89"/>
    </row>
    <row r="14" spans="2:19" ht="20.25" customHeight="1" x14ac:dyDescent="0.35">
      <c r="B14" s="215" t="s">
        <v>3</v>
      </c>
      <c r="C14" s="216"/>
      <c r="D14" s="96">
        <v>7</v>
      </c>
      <c r="E14" s="107" t="s">
        <v>29</v>
      </c>
      <c r="F14" s="107" t="s">
        <v>30</v>
      </c>
      <c r="G14" s="107" t="s">
        <v>31</v>
      </c>
      <c r="H14" s="107" t="s">
        <v>32</v>
      </c>
      <c r="I14" s="107" t="s">
        <v>33</v>
      </c>
      <c r="J14" s="98"/>
      <c r="K14" s="98"/>
      <c r="L14" s="98"/>
      <c r="M14" s="98"/>
      <c r="N14" s="98"/>
      <c r="O14" s="121"/>
      <c r="P14" s="121"/>
      <c r="Q14" s="89"/>
      <c r="R14" s="89"/>
      <c r="S14" s="89"/>
    </row>
    <row r="15" spans="2:19" ht="48.75" customHeight="1" x14ac:dyDescent="0.35">
      <c r="B15" s="228" t="s">
        <v>15</v>
      </c>
      <c r="C15" s="117" t="s">
        <v>35</v>
      </c>
      <c r="D15" s="100">
        <v>8</v>
      </c>
      <c r="E15" s="109">
        <f>E11*6.52/1000</f>
        <v>154.77697599999999</v>
      </c>
      <c r="F15" s="109">
        <f>F11*6.52/1000</f>
        <v>140.09589199999999</v>
      </c>
      <c r="G15" s="109">
        <f>G11*6.52/1000</f>
        <v>166.25934799999999</v>
      </c>
      <c r="H15" s="109">
        <f>H11*6.52/1000</f>
        <v>133.09145599999997</v>
      </c>
      <c r="I15" s="109">
        <f>I11*6.52/1000</f>
        <v>107.320504</v>
      </c>
      <c r="J15" s="102"/>
      <c r="K15" s="102"/>
      <c r="L15" s="102"/>
      <c r="M15" s="102"/>
      <c r="N15" s="102"/>
      <c r="O15" s="121"/>
      <c r="P15" s="121"/>
      <c r="Q15" s="110">
        <f>SUM(E15:I15)</f>
        <v>701.54417599999999</v>
      </c>
      <c r="R15" s="89"/>
      <c r="S15" s="89"/>
    </row>
    <row r="16" spans="2:19" ht="48.75" customHeight="1" x14ac:dyDescent="0.35">
      <c r="B16" s="229"/>
      <c r="C16" s="117" t="s">
        <v>36</v>
      </c>
      <c r="D16" s="96">
        <v>9</v>
      </c>
      <c r="E16" s="111">
        <f>E19-'НОЯБРЬ 2018'!E19</f>
        <v>130.49282000000039</v>
      </c>
      <c r="F16" s="111">
        <f>F19-'НОЯБРЬ 2018'!F19</f>
        <v>150.50440000000071</v>
      </c>
      <c r="G16" s="111">
        <f>G19-'НОЯБРЬ 2018'!G19</f>
        <v>225.1261399999994</v>
      </c>
      <c r="H16" s="111">
        <f>H19-'НОЯБРЬ 2018'!H19</f>
        <v>148.20276999999987</v>
      </c>
      <c r="I16" s="111">
        <f>I19-'НОЯБРЬ 2018'!I19</f>
        <v>101.95949999999993</v>
      </c>
      <c r="J16" s="98"/>
      <c r="K16" s="98"/>
      <c r="L16" s="98"/>
      <c r="M16" s="98"/>
      <c r="N16" s="98"/>
      <c r="O16" s="121"/>
      <c r="P16" s="121"/>
      <c r="Q16" s="112">
        <f>SUM(E16:I16)</f>
        <v>756.28563000000031</v>
      </c>
      <c r="R16" s="154">
        <f>100*Q16/Q15</f>
        <v>107.80299457578282</v>
      </c>
      <c r="S16" s="89"/>
    </row>
    <row r="17" spans="2:20" ht="67.5" customHeight="1" x14ac:dyDescent="0.35">
      <c r="B17" s="230"/>
      <c r="C17" s="113" t="s">
        <v>53</v>
      </c>
      <c r="D17" s="100">
        <v>10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98"/>
      <c r="K17" s="98"/>
      <c r="L17" s="98"/>
      <c r="M17" s="98"/>
      <c r="N17" s="98"/>
      <c r="O17" s="121"/>
      <c r="P17" s="121"/>
      <c r="Q17" s="110">
        <f t="shared" ref="Q17:Q20" si="0">SUM(E17:I17)</f>
        <v>0</v>
      </c>
      <c r="R17" s="89"/>
      <c r="S17" s="89"/>
    </row>
    <row r="18" spans="2:20" ht="48.75" customHeight="1" x14ac:dyDescent="0.35">
      <c r="B18" s="231" t="s">
        <v>16</v>
      </c>
      <c r="C18" s="117" t="s">
        <v>35</v>
      </c>
      <c r="D18" s="96">
        <v>11</v>
      </c>
      <c r="E18" s="111">
        <f>(E11*(5.84*23+6.27*24+6.52*6))/1000</f>
        <v>7689.4720959999986</v>
      </c>
      <c r="F18" s="111">
        <f t="shared" ref="F18:I18" si="1">(F11*(5.84*23+6.27*24+6.52*6))/1000</f>
        <v>6960.1014319999995</v>
      </c>
      <c r="G18" s="111">
        <f t="shared" si="1"/>
        <v>8259.927608</v>
      </c>
      <c r="H18" s="111">
        <f t="shared" si="1"/>
        <v>6612.1141759999991</v>
      </c>
      <c r="I18" s="111">
        <f t="shared" si="1"/>
        <v>5331.7879839999996</v>
      </c>
      <c r="J18" s="98"/>
      <c r="K18" s="98"/>
      <c r="L18" s="98"/>
      <c r="M18" s="98"/>
      <c r="N18" s="98"/>
      <c r="O18" s="121"/>
      <c r="P18" s="121"/>
      <c r="Q18" s="110">
        <f t="shared" si="0"/>
        <v>34853.403295999997</v>
      </c>
      <c r="R18" s="89"/>
      <c r="S18" s="89"/>
      <c r="T18" s="84" t="s">
        <v>45</v>
      </c>
    </row>
    <row r="19" spans="2:20" ht="48.75" customHeight="1" x14ac:dyDescent="0.35">
      <c r="B19" s="232"/>
      <c r="C19" s="117" t="s">
        <v>36</v>
      </c>
      <c r="D19" s="100">
        <v>12</v>
      </c>
      <c r="E19" s="114">
        <f>6164770/1000</f>
        <v>6164.77</v>
      </c>
      <c r="F19" s="114">
        <f>5302640/1000</f>
        <v>5302.64</v>
      </c>
      <c r="G19" s="114">
        <f>6643690/1000</f>
        <v>6643.69</v>
      </c>
      <c r="H19" s="114">
        <f>5181290/1000</f>
        <v>5181.29</v>
      </c>
      <c r="I19" s="114">
        <f>4230250/1000</f>
        <v>4230.25</v>
      </c>
      <c r="J19" s="102"/>
      <c r="K19" s="102"/>
      <c r="L19" s="102"/>
      <c r="M19" s="102"/>
      <c r="N19" s="102"/>
      <c r="O19" s="121"/>
      <c r="P19" s="121"/>
      <c r="Q19" s="110">
        <f t="shared" si="0"/>
        <v>27522.639999999999</v>
      </c>
      <c r="R19" s="89"/>
      <c r="S19" s="89"/>
      <c r="T19" s="112">
        <f>Q19-'НОЯБРЬ 2018'!Q19</f>
        <v>756.28562999999849</v>
      </c>
    </row>
    <row r="20" spans="2:20" ht="48.75" customHeight="1" x14ac:dyDescent="0.35">
      <c r="B20" s="232"/>
      <c r="C20" s="113" t="s">
        <v>53</v>
      </c>
      <c r="D20" s="96">
        <v>13</v>
      </c>
      <c r="E20" s="103">
        <v>0</v>
      </c>
      <c r="F20" s="103">
        <v>0</v>
      </c>
      <c r="G20" s="103">
        <v>0</v>
      </c>
      <c r="H20" s="103">
        <v>0</v>
      </c>
      <c r="I20" s="103">
        <v>0</v>
      </c>
      <c r="J20" s="98"/>
      <c r="K20" s="98"/>
      <c r="L20" s="98"/>
      <c r="M20" s="98"/>
      <c r="N20" s="98"/>
      <c r="O20" s="121"/>
      <c r="P20" s="121"/>
      <c r="Q20" s="110">
        <f t="shared" si="0"/>
        <v>0</v>
      </c>
      <c r="R20" s="89"/>
      <c r="S20" s="89"/>
    </row>
    <row r="21" spans="2:20" ht="41.25" customHeight="1" x14ac:dyDescent="0.35">
      <c r="B21" s="215" t="s">
        <v>17</v>
      </c>
      <c r="C21" s="223"/>
      <c r="D21" s="100">
        <v>14</v>
      </c>
      <c r="E21" s="115">
        <f>E19-E20</f>
        <v>6164.77</v>
      </c>
      <c r="F21" s="115">
        <f t="shared" ref="F21:I21" si="2">F19-F20</f>
        <v>5302.64</v>
      </c>
      <c r="G21" s="115">
        <f t="shared" si="2"/>
        <v>6643.69</v>
      </c>
      <c r="H21" s="115">
        <f t="shared" si="2"/>
        <v>5181.29</v>
      </c>
      <c r="I21" s="115">
        <f t="shared" si="2"/>
        <v>4230.25</v>
      </c>
      <c r="J21" s="98"/>
      <c r="K21" s="98"/>
      <c r="L21" s="98"/>
      <c r="M21" s="98"/>
      <c r="N21" s="98"/>
      <c r="O21" s="121"/>
      <c r="P21" s="121"/>
      <c r="Q21" s="110">
        <f>SUM(E21:I21)</f>
        <v>27522.639999999999</v>
      </c>
      <c r="R21" s="89"/>
      <c r="S21" s="89"/>
    </row>
    <row r="22" spans="2:20" ht="43.5" customHeight="1" x14ac:dyDescent="0.35">
      <c r="B22" s="215" t="s">
        <v>4</v>
      </c>
      <c r="C22" s="216"/>
      <c r="D22" s="96">
        <v>15</v>
      </c>
      <c r="E22" s="116">
        <f>(1-E19/E18)*100</f>
        <v>19.828436555392869</v>
      </c>
      <c r="F22" s="116">
        <f t="shared" ref="F22:I22" si="3">(1-F19/F18)*100</f>
        <v>23.81375398323361</v>
      </c>
      <c r="G22" s="116">
        <f t="shared" si="3"/>
        <v>19.567212749354169</v>
      </c>
      <c r="H22" s="116">
        <f t="shared" si="3"/>
        <v>21.639435404691952</v>
      </c>
      <c r="I22" s="116">
        <f t="shared" si="3"/>
        <v>20.659823445822887</v>
      </c>
      <c r="J22" s="98"/>
      <c r="K22" s="98"/>
      <c r="L22" s="98"/>
      <c r="M22" s="98"/>
      <c r="N22" s="98"/>
      <c r="Q22" s="116">
        <f t="shared" ref="Q22" si="4">(1-Q19/Q18)*100</f>
        <v>21.033134795307994</v>
      </c>
    </row>
    <row r="23" spans="2:20" ht="43.5" customHeight="1" x14ac:dyDescent="0.35">
      <c r="B23" s="215" t="s">
        <v>5</v>
      </c>
      <c r="C23" s="216"/>
      <c r="D23" s="100">
        <v>16</v>
      </c>
      <c r="E23" s="103" t="s">
        <v>20</v>
      </c>
      <c r="F23" s="103" t="s">
        <v>20</v>
      </c>
      <c r="G23" s="103" t="s">
        <v>20</v>
      </c>
      <c r="H23" s="103" t="s">
        <v>20</v>
      </c>
      <c r="I23" s="103" t="s">
        <v>20</v>
      </c>
      <c r="J23" s="98"/>
      <c r="K23" s="98"/>
      <c r="L23" s="98"/>
      <c r="M23" s="98"/>
      <c r="N23" s="98"/>
    </row>
    <row r="24" spans="2:20" ht="230.25" customHeight="1" x14ac:dyDescent="0.35">
      <c r="B24" s="233" t="s">
        <v>40</v>
      </c>
      <c r="C24" s="234"/>
      <c r="D24" s="234"/>
      <c r="E24" s="234"/>
      <c r="F24" s="234"/>
      <c r="G24" s="235"/>
      <c r="H24" s="63" t="s">
        <v>61</v>
      </c>
    </row>
    <row r="25" spans="2:20" ht="84.75" customHeight="1" x14ac:dyDescent="0.35">
      <c r="B25" s="227" t="s">
        <v>47</v>
      </c>
      <c r="C25" s="218"/>
      <c r="D25" s="218"/>
      <c r="E25" s="218"/>
      <c r="F25" s="218"/>
      <c r="G25" s="218"/>
      <c r="H25" s="218"/>
      <c r="I25" s="218"/>
      <c r="J25" s="218"/>
      <c r="K25" s="218"/>
      <c r="L25" s="218"/>
      <c r="M25" s="218"/>
      <c r="N25" s="218"/>
      <c r="O25" s="218"/>
      <c r="P25" s="218"/>
      <c r="Q25" s="218"/>
    </row>
  </sheetData>
  <mergeCells count="19">
    <mergeCell ref="B14:C14"/>
    <mergeCell ref="B1:P1"/>
    <mergeCell ref="B3:P3"/>
    <mergeCell ref="B4:P4"/>
    <mergeCell ref="B6:P6"/>
    <mergeCell ref="B8:C8"/>
    <mergeCell ref="B9:C9"/>
    <mergeCell ref="B10:C10"/>
    <mergeCell ref="B11:C11"/>
    <mergeCell ref="B12:C12"/>
    <mergeCell ref="B13:C13"/>
    <mergeCell ref="E13:I13"/>
    <mergeCell ref="B25:Q25"/>
    <mergeCell ref="B15:B17"/>
    <mergeCell ref="B18:B20"/>
    <mergeCell ref="B21:C21"/>
    <mergeCell ref="B22:C22"/>
    <mergeCell ref="B23:C23"/>
    <mergeCell ref="B24:G2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5"/>
  <sheetViews>
    <sheetView topLeftCell="A14" zoomScale="57" zoomScaleNormal="57" workbookViewId="0">
      <selection activeCell="R16" sqref="R16"/>
    </sheetView>
  </sheetViews>
  <sheetFormatPr defaultRowHeight="23.25" x14ac:dyDescent="0.35"/>
  <cols>
    <col min="1" max="1" width="0.42578125" style="84" customWidth="1"/>
    <col min="2" max="2" width="22.28515625" style="84" customWidth="1"/>
    <col min="3" max="3" width="99.5703125" style="84" customWidth="1"/>
    <col min="4" max="4" width="5.7109375" style="85" customWidth="1"/>
    <col min="5" max="5" width="38" style="86" customWidth="1"/>
    <col min="6" max="9" width="38" style="85" customWidth="1"/>
    <col min="10" max="10" width="0.140625" style="85" hidden="1" customWidth="1"/>
    <col min="11" max="11" width="3.5703125" style="85" hidden="1" customWidth="1"/>
    <col min="12" max="12" width="1.140625" style="85" customWidth="1"/>
    <col min="13" max="14" width="0.28515625" style="85" customWidth="1"/>
    <col min="15" max="15" width="0.7109375" style="84" customWidth="1"/>
    <col min="16" max="16" width="2.42578125" style="84" customWidth="1"/>
    <col min="17" max="17" width="23.42578125" style="84" customWidth="1"/>
    <col min="18" max="18" width="15.28515625" style="84" customWidth="1"/>
    <col min="19" max="19" width="9.140625" style="84"/>
    <col min="20" max="20" width="15.28515625" style="84" customWidth="1"/>
    <col min="21" max="16384" width="9.140625" style="84"/>
  </cols>
  <sheetData>
    <row r="1" spans="2:19" ht="63.75" customHeight="1" x14ac:dyDescent="0.35">
      <c r="B1" s="217" t="s">
        <v>9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</row>
    <row r="2" spans="2:19" ht="6.75" customHeight="1" x14ac:dyDescent="0.35">
      <c r="O2" s="125"/>
      <c r="P2" s="123"/>
    </row>
    <row r="3" spans="2:19" ht="55.5" customHeight="1" x14ac:dyDescent="0.35">
      <c r="B3" s="219" t="s">
        <v>11</v>
      </c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</row>
    <row r="4" spans="2:19" s="89" customFormat="1" ht="117.75" customHeight="1" x14ac:dyDescent="0.35">
      <c r="B4" s="220" t="s">
        <v>54</v>
      </c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</row>
    <row r="5" spans="2:19" ht="4.5" customHeight="1" x14ac:dyDescent="0.35">
      <c r="C5" s="122"/>
      <c r="D5" s="91"/>
      <c r="E5" s="92"/>
      <c r="F5" s="91"/>
      <c r="G5" s="91"/>
      <c r="H5" s="91"/>
      <c r="I5" s="91"/>
      <c r="J5" s="91"/>
      <c r="K5" s="91"/>
      <c r="L5" s="91"/>
      <c r="M5" s="91"/>
      <c r="N5" s="91"/>
      <c r="O5" s="93"/>
      <c r="P5" s="93"/>
    </row>
    <row r="6" spans="2:19" ht="38.25" customHeight="1" x14ac:dyDescent="0.35">
      <c r="B6" s="222" t="s">
        <v>12</v>
      </c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</row>
    <row r="7" spans="2:19" ht="9.75" customHeight="1" x14ac:dyDescent="0.35">
      <c r="C7" s="126"/>
      <c r="D7" s="126"/>
      <c r="E7" s="95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</row>
    <row r="8" spans="2:19" s="99" customFormat="1" ht="25.5" customHeight="1" x14ac:dyDescent="0.25">
      <c r="B8" s="215" t="s">
        <v>6</v>
      </c>
      <c r="C8" s="223"/>
      <c r="D8" s="96">
        <v>1</v>
      </c>
      <c r="E8" s="97">
        <v>1</v>
      </c>
      <c r="F8" s="96">
        <v>2</v>
      </c>
      <c r="G8" s="97">
        <v>3</v>
      </c>
      <c r="H8" s="96">
        <v>4</v>
      </c>
      <c r="I8" s="97">
        <v>5</v>
      </c>
      <c r="J8" s="98"/>
      <c r="K8" s="98"/>
      <c r="L8" s="98"/>
      <c r="M8" s="98"/>
      <c r="N8" s="98"/>
      <c r="O8" s="98"/>
      <c r="P8" s="91"/>
    </row>
    <row r="9" spans="2:19" ht="20.25" customHeight="1" x14ac:dyDescent="0.35">
      <c r="B9" s="215" t="s">
        <v>8</v>
      </c>
      <c r="C9" s="216"/>
      <c r="D9" s="100">
        <v>2</v>
      </c>
      <c r="E9" s="101"/>
      <c r="F9" s="100"/>
      <c r="G9" s="100"/>
      <c r="H9" s="100"/>
      <c r="I9" s="100"/>
      <c r="J9" s="102"/>
      <c r="K9" s="102"/>
      <c r="L9" s="102"/>
      <c r="M9" s="102"/>
      <c r="N9" s="102"/>
      <c r="O9" s="122"/>
      <c r="P9" s="122"/>
      <c r="Q9" s="89"/>
      <c r="R9" s="89"/>
      <c r="S9" s="89"/>
    </row>
    <row r="10" spans="2:19" ht="35.25" customHeight="1" x14ac:dyDescent="0.35">
      <c r="B10" s="215" t="s">
        <v>23</v>
      </c>
      <c r="C10" s="216"/>
      <c r="D10" s="96">
        <v>3</v>
      </c>
      <c r="E10" s="103" t="s">
        <v>22</v>
      </c>
      <c r="F10" s="96" t="s">
        <v>24</v>
      </c>
      <c r="G10" s="96" t="s">
        <v>25</v>
      </c>
      <c r="H10" s="104" t="s">
        <v>26</v>
      </c>
      <c r="I10" s="104" t="s">
        <v>34</v>
      </c>
      <c r="J10" s="98"/>
      <c r="K10" s="98"/>
      <c r="L10" s="98"/>
      <c r="M10" s="98"/>
      <c r="N10" s="98"/>
      <c r="O10" s="122"/>
      <c r="P10" s="122"/>
      <c r="Q10" s="89"/>
      <c r="R10" s="89"/>
      <c r="S10" s="89"/>
    </row>
    <row r="11" spans="2:19" ht="20.25" customHeight="1" x14ac:dyDescent="0.35">
      <c r="B11" s="215" t="s">
        <v>0</v>
      </c>
      <c r="C11" s="216"/>
      <c r="D11" s="100">
        <v>4</v>
      </c>
      <c r="E11" s="105">
        <v>23738.799999999999</v>
      </c>
      <c r="F11" s="105">
        <v>21487.1</v>
      </c>
      <c r="G11" s="105">
        <v>25499.9</v>
      </c>
      <c r="H11" s="105">
        <v>20412.8</v>
      </c>
      <c r="I11" s="105">
        <v>16460.2</v>
      </c>
      <c r="J11" s="98"/>
      <c r="K11" s="98"/>
      <c r="L11" s="98"/>
      <c r="M11" s="98"/>
      <c r="N11" s="98"/>
      <c r="O11" s="122"/>
      <c r="P11" s="122"/>
      <c r="Q11" s="106">
        <f>E11+F11+G11+H11+I11</f>
        <v>107598.79999999999</v>
      </c>
      <c r="R11" s="89"/>
      <c r="S11" s="89"/>
    </row>
    <row r="12" spans="2:19" ht="50.25" customHeight="1" x14ac:dyDescent="0.35">
      <c r="B12" s="215" t="s">
        <v>1</v>
      </c>
      <c r="C12" s="216"/>
      <c r="D12" s="96">
        <v>5</v>
      </c>
      <c r="E12" s="101" t="s">
        <v>27</v>
      </c>
      <c r="F12" s="101" t="s">
        <v>27</v>
      </c>
      <c r="G12" s="101" t="s">
        <v>27</v>
      </c>
      <c r="H12" s="101" t="s">
        <v>27</v>
      </c>
      <c r="I12" s="101" t="s">
        <v>27</v>
      </c>
      <c r="J12" s="102"/>
      <c r="K12" s="102"/>
      <c r="L12" s="102"/>
      <c r="M12" s="102"/>
      <c r="N12" s="102"/>
      <c r="O12" s="122"/>
      <c r="P12" s="122"/>
      <c r="Q12" s="89"/>
      <c r="R12" s="89"/>
      <c r="S12" s="89"/>
    </row>
    <row r="13" spans="2:19" ht="21" customHeight="1" x14ac:dyDescent="0.35">
      <c r="B13" s="215" t="s">
        <v>2</v>
      </c>
      <c r="C13" s="216"/>
      <c r="D13" s="100">
        <v>6</v>
      </c>
      <c r="E13" s="224" t="s">
        <v>28</v>
      </c>
      <c r="F13" s="225"/>
      <c r="G13" s="225"/>
      <c r="H13" s="225"/>
      <c r="I13" s="226"/>
      <c r="J13" s="98"/>
      <c r="K13" s="98"/>
      <c r="L13" s="98"/>
      <c r="M13" s="98"/>
      <c r="N13" s="98"/>
      <c r="O13" s="122"/>
      <c r="P13" s="122"/>
      <c r="Q13" s="89"/>
      <c r="R13" s="89"/>
      <c r="S13" s="89"/>
    </row>
    <row r="14" spans="2:19" ht="20.25" customHeight="1" x14ac:dyDescent="0.35">
      <c r="B14" s="215" t="s">
        <v>3</v>
      </c>
      <c r="C14" s="216"/>
      <c r="D14" s="96">
        <v>7</v>
      </c>
      <c r="E14" s="107" t="s">
        <v>29</v>
      </c>
      <c r="F14" s="107" t="s">
        <v>30</v>
      </c>
      <c r="G14" s="107" t="s">
        <v>31</v>
      </c>
      <c r="H14" s="107" t="s">
        <v>32</v>
      </c>
      <c r="I14" s="107" t="s">
        <v>33</v>
      </c>
      <c r="J14" s="98"/>
      <c r="K14" s="98"/>
      <c r="L14" s="98"/>
      <c r="M14" s="98"/>
      <c r="N14" s="98"/>
      <c r="O14" s="122"/>
      <c r="P14" s="122"/>
      <c r="Q14" s="89"/>
      <c r="R14" s="89"/>
      <c r="S14" s="89"/>
    </row>
    <row r="15" spans="2:19" ht="48.75" customHeight="1" x14ac:dyDescent="0.35">
      <c r="B15" s="228" t="s">
        <v>15</v>
      </c>
      <c r="C15" s="124" t="s">
        <v>35</v>
      </c>
      <c r="D15" s="100">
        <v>8</v>
      </c>
      <c r="E15" s="109">
        <f>E11*6.52/1000</f>
        <v>154.77697599999999</v>
      </c>
      <c r="F15" s="109">
        <f>F11*6.52/1000</f>
        <v>140.09589199999999</v>
      </c>
      <c r="G15" s="109">
        <f>G11*6.52/1000</f>
        <v>166.25934799999999</v>
      </c>
      <c r="H15" s="109">
        <f>H11*6.52/1000</f>
        <v>133.09145599999997</v>
      </c>
      <c r="I15" s="109">
        <f>I11*6.52/1000</f>
        <v>107.320504</v>
      </c>
      <c r="J15" s="102"/>
      <c r="K15" s="102"/>
      <c r="L15" s="102"/>
      <c r="M15" s="102"/>
      <c r="N15" s="102"/>
      <c r="O15" s="122"/>
      <c r="P15" s="122"/>
      <c r="Q15" s="110">
        <f>SUM(E15:I15)</f>
        <v>701.54417599999999</v>
      </c>
      <c r="R15" s="89"/>
      <c r="S15" s="89"/>
    </row>
    <row r="16" spans="2:19" ht="48.75" customHeight="1" x14ac:dyDescent="0.35">
      <c r="B16" s="229"/>
      <c r="C16" s="124" t="s">
        <v>36</v>
      </c>
      <c r="D16" s="96">
        <v>9</v>
      </c>
      <c r="E16" s="111">
        <f>E19-'ДЕКАБРЬ 2018'!E19</f>
        <v>154.82999999999993</v>
      </c>
      <c r="F16" s="111">
        <f>F19-'ДЕКАБРЬ 2018'!F19</f>
        <v>91.259999999999309</v>
      </c>
      <c r="G16" s="111">
        <f>G19-'ДЕКАБРЬ 2018'!G19</f>
        <v>164.30000000000018</v>
      </c>
      <c r="H16" s="111">
        <f>H19-'ДЕКАБРЬ 2018'!H19</f>
        <v>113.23000000000047</v>
      </c>
      <c r="I16" s="111">
        <f>I19-'ДЕКАБРЬ 2018'!I19</f>
        <v>106.9399999999996</v>
      </c>
      <c r="J16" s="98"/>
      <c r="K16" s="98"/>
      <c r="L16" s="98"/>
      <c r="M16" s="98"/>
      <c r="N16" s="98"/>
      <c r="O16" s="122"/>
      <c r="P16" s="122"/>
      <c r="Q16" s="112">
        <f>SUM(E16:I16)</f>
        <v>630.55999999999949</v>
      </c>
      <c r="R16" s="154">
        <f>100*Q16/Q15</f>
        <v>89.881723998518311</v>
      </c>
      <c r="S16" s="89"/>
    </row>
    <row r="17" spans="2:20" ht="67.5" customHeight="1" x14ac:dyDescent="0.35">
      <c r="B17" s="230"/>
      <c r="C17" s="113" t="s">
        <v>53</v>
      </c>
      <c r="D17" s="100">
        <v>10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98"/>
      <c r="K17" s="98"/>
      <c r="L17" s="98"/>
      <c r="M17" s="98"/>
      <c r="N17" s="98"/>
      <c r="O17" s="122"/>
      <c r="P17" s="122"/>
      <c r="Q17" s="110">
        <f t="shared" ref="Q17:Q20" si="0">SUM(E17:I17)</f>
        <v>0</v>
      </c>
      <c r="R17" s="89"/>
      <c r="S17" s="89"/>
    </row>
    <row r="18" spans="2:20" ht="48.75" customHeight="1" x14ac:dyDescent="0.35">
      <c r="B18" s="231" t="s">
        <v>16</v>
      </c>
      <c r="C18" s="124" t="s">
        <v>35</v>
      </c>
      <c r="D18" s="96">
        <v>11</v>
      </c>
      <c r="E18" s="111">
        <f>(E11*(5.84*23+6.27*24+6.52*7))/1000</f>
        <v>7844.2490719999987</v>
      </c>
      <c r="F18" s="111">
        <f t="shared" ref="F18:I18" si="1">(F11*(5.84*23+6.27*24+6.52*7))/1000</f>
        <v>7100.1973239999979</v>
      </c>
      <c r="G18" s="111">
        <f t="shared" si="1"/>
        <v>8426.1869559999977</v>
      </c>
      <c r="H18" s="111">
        <f t="shared" si="1"/>
        <v>6745.2056319999983</v>
      </c>
      <c r="I18" s="111">
        <f t="shared" si="1"/>
        <v>5439.1084879999989</v>
      </c>
      <c r="J18" s="98"/>
      <c r="K18" s="98"/>
      <c r="L18" s="98"/>
      <c r="M18" s="98"/>
      <c r="N18" s="98"/>
      <c r="O18" s="122"/>
      <c r="P18" s="122"/>
      <c r="Q18" s="110">
        <f t="shared" si="0"/>
        <v>35554.947471999993</v>
      </c>
      <c r="R18" s="89"/>
      <c r="S18" s="89"/>
      <c r="T18" s="84" t="s">
        <v>45</v>
      </c>
    </row>
    <row r="19" spans="2:20" ht="48.75" customHeight="1" x14ac:dyDescent="0.35">
      <c r="B19" s="232"/>
      <c r="C19" s="124" t="s">
        <v>36</v>
      </c>
      <c r="D19" s="100">
        <v>12</v>
      </c>
      <c r="E19" s="114">
        <v>6319.6</v>
      </c>
      <c r="F19" s="114">
        <v>5393.9</v>
      </c>
      <c r="G19" s="114">
        <v>6807.99</v>
      </c>
      <c r="H19" s="114">
        <v>5294.52</v>
      </c>
      <c r="I19" s="114">
        <v>4337.1899999999996</v>
      </c>
      <c r="J19" s="102"/>
      <c r="K19" s="102"/>
      <c r="L19" s="102"/>
      <c r="M19" s="102"/>
      <c r="N19" s="102"/>
      <c r="O19" s="122"/>
      <c r="P19" s="122"/>
      <c r="Q19" s="110">
        <f t="shared" si="0"/>
        <v>28153.199999999997</v>
      </c>
      <c r="R19" s="89"/>
      <c r="S19" s="89"/>
      <c r="T19" s="112">
        <f>Q19-'ДЕКАБРЬ 2018'!Q19</f>
        <v>630.55999999999767</v>
      </c>
    </row>
    <row r="20" spans="2:20" ht="48.75" customHeight="1" x14ac:dyDescent="0.35">
      <c r="B20" s="232"/>
      <c r="C20" s="113" t="s">
        <v>53</v>
      </c>
      <c r="D20" s="96">
        <v>13</v>
      </c>
      <c r="E20" s="103">
        <v>0</v>
      </c>
      <c r="F20" s="103">
        <v>0</v>
      </c>
      <c r="G20" s="103">
        <v>0</v>
      </c>
      <c r="H20" s="103">
        <v>0</v>
      </c>
      <c r="I20" s="103">
        <v>0</v>
      </c>
      <c r="J20" s="98"/>
      <c r="K20" s="98"/>
      <c r="L20" s="98"/>
      <c r="M20" s="98"/>
      <c r="N20" s="98"/>
      <c r="O20" s="122"/>
      <c r="P20" s="122"/>
      <c r="Q20" s="110">
        <f t="shared" si="0"/>
        <v>0</v>
      </c>
      <c r="R20" s="89"/>
      <c r="S20" s="89"/>
    </row>
    <row r="21" spans="2:20" ht="41.25" customHeight="1" x14ac:dyDescent="0.35">
      <c r="B21" s="215" t="s">
        <v>17</v>
      </c>
      <c r="C21" s="223"/>
      <c r="D21" s="100">
        <v>14</v>
      </c>
      <c r="E21" s="115">
        <f>E19-E20</f>
        <v>6319.6</v>
      </c>
      <c r="F21" s="115">
        <f t="shared" ref="F21:I21" si="2">F19-F20</f>
        <v>5393.9</v>
      </c>
      <c r="G21" s="115">
        <f t="shared" si="2"/>
        <v>6807.99</v>
      </c>
      <c r="H21" s="115">
        <f t="shared" si="2"/>
        <v>5294.52</v>
      </c>
      <c r="I21" s="115">
        <f t="shared" si="2"/>
        <v>4337.1899999999996</v>
      </c>
      <c r="J21" s="98"/>
      <c r="K21" s="98"/>
      <c r="L21" s="98"/>
      <c r="M21" s="98"/>
      <c r="N21" s="98"/>
      <c r="O21" s="122"/>
      <c r="P21" s="122"/>
      <c r="Q21" s="110">
        <f>SUM(E21:I21)</f>
        <v>28153.199999999997</v>
      </c>
      <c r="R21" s="89"/>
      <c r="S21" s="89"/>
    </row>
    <row r="22" spans="2:20" ht="43.5" customHeight="1" x14ac:dyDescent="0.35">
      <c r="B22" s="215" t="s">
        <v>4</v>
      </c>
      <c r="C22" s="216"/>
      <c r="D22" s="96">
        <v>15</v>
      </c>
      <c r="E22" s="116">
        <f>(1-E19/E18)*100</f>
        <v>19.436520411395708</v>
      </c>
      <c r="F22" s="116">
        <f t="shared" ref="F22:I22" si="3">(1-F19/F18)*100</f>
        <v>24.031688784653827</v>
      </c>
      <c r="G22" s="116">
        <f t="shared" si="3"/>
        <v>19.204379922376813</v>
      </c>
      <c r="H22" s="116">
        <f t="shared" si="3"/>
        <v>21.506914853978444</v>
      </c>
      <c r="I22" s="116">
        <f t="shared" si="3"/>
        <v>20.25917465024094</v>
      </c>
      <c r="J22" s="98"/>
      <c r="K22" s="98"/>
      <c r="L22" s="98"/>
      <c r="M22" s="98"/>
      <c r="N22" s="98"/>
      <c r="Q22" s="116">
        <f t="shared" ref="Q22" si="4">(1-Q19/Q18)*100</f>
        <v>20.817770797802392</v>
      </c>
    </row>
    <row r="23" spans="2:20" ht="43.5" customHeight="1" x14ac:dyDescent="0.35">
      <c r="B23" s="215" t="s">
        <v>5</v>
      </c>
      <c r="C23" s="216"/>
      <c r="D23" s="100">
        <v>16</v>
      </c>
      <c r="E23" s="103" t="s">
        <v>20</v>
      </c>
      <c r="F23" s="103" t="s">
        <v>20</v>
      </c>
      <c r="G23" s="103" t="s">
        <v>20</v>
      </c>
      <c r="H23" s="103" t="s">
        <v>20</v>
      </c>
      <c r="I23" s="103" t="s">
        <v>20</v>
      </c>
      <c r="J23" s="98"/>
      <c r="K23" s="98"/>
      <c r="L23" s="98"/>
      <c r="M23" s="98"/>
      <c r="N23" s="98"/>
    </row>
    <row r="24" spans="2:20" ht="230.25" customHeight="1" x14ac:dyDescent="0.35">
      <c r="B24" s="233" t="s">
        <v>40</v>
      </c>
      <c r="C24" s="234"/>
      <c r="D24" s="234"/>
      <c r="E24" s="234"/>
      <c r="F24" s="234"/>
      <c r="G24" s="235"/>
      <c r="H24" s="63" t="s">
        <v>62</v>
      </c>
    </row>
    <row r="25" spans="2:20" ht="84.75" customHeight="1" x14ac:dyDescent="0.35">
      <c r="B25" s="227" t="s">
        <v>47</v>
      </c>
      <c r="C25" s="218"/>
      <c r="D25" s="218"/>
      <c r="E25" s="218"/>
      <c r="F25" s="218"/>
      <c r="G25" s="218"/>
      <c r="H25" s="218"/>
      <c r="I25" s="218"/>
      <c r="J25" s="218"/>
      <c r="K25" s="218"/>
      <c r="L25" s="218"/>
      <c r="M25" s="218"/>
      <c r="N25" s="218"/>
      <c r="O25" s="218"/>
      <c r="P25" s="218"/>
      <c r="Q25" s="218"/>
    </row>
  </sheetData>
  <mergeCells count="19">
    <mergeCell ref="B25:Q25"/>
    <mergeCell ref="B15:B17"/>
    <mergeCell ref="B18:B20"/>
    <mergeCell ref="B21:C21"/>
    <mergeCell ref="B22:C22"/>
    <mergeCell ref="B23:C23"/>
    <mergeCell ref="B24:G24"/>
    <mergeCell ref="B14:C14"/>
    <mergeCell ref="B1:P1"/>
    <mergeCell ref="B3:P3"/>
    <mergeCell ref="B4:P4"/>
    <mergeCell ref="B6:P6"/>
    <mergeCell ref="B8:C8"/>
    <mergeCell ref="B9:C9"/>
    <mergeCell ref="B10:C10"/>
    <mergeCell ref="B11:C11"/>
    <mergeCell ref="B12:C12"/>
    <mergeCell ref="B13:C13"/>
    <mergeCell ref="E13:I1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5"/>
  <sheetViews>
    <sheetView view="pageBreakPreview" topLeftCell="C10" zoomScale="60" zoomScaleNormal="60" workbookViewId="0">
      <selection activeCell="R16" sqref="R16"/>
    </sheetView>
  </sheetViews>
  <sheetFormatPr defaultRowHeight="23.25" x14ac:dyDescent="0.35"/>
  <cols>
    <col min="1" max="1" width="0.42578125" style="84" customWidth="1"/>
    <col min="2" max="2" width="22.28515625" style="84" customWidth="1"/>
    <col min="3" max="3" width="99.5703125" style="84" customWidth="1"/>
    <col min="4" max="4" width="4.42578125" style="85" customWidth="1"/>
    <col min="5" max="5" width="38" style="86" customWidth="1"/>
    <col min="6" max="9" width="38" style="85" customWidth="1"/>
    <col min="10" max="10" width="0.140625" style="85" hidden="1" customWidth="1"/>
    <col min="11" max="11" width="3.5703125" style="85" hidden="1" customWidth="1"/>
    <col min="12" max="12" width="1.140625" style="85" customWidth="1"/>
    <col min="13" max="14" width="0.28515625" style="85" customWidth="1"/>
    <col min="15" max="15" width="0.7109375" style="84" customWidth="1"/>
    <col min="16" max="16" width="2.42578125" style="84" customWidth="1"/>
    <col min="17" max="17" width="23.42578125" style="84" customWidth="1"/>
    <col min="18" max="18" width="15.28515625" style="84" customWidth="1"/>
    <col min="19" max="19" width="9.140625" style="84"/>
    <col min="20" max="20" width="15.28515625" style="84" customWidth="1"/>
    <col min="21" max="16384" width="9.140625" style="84"/>
  </cols>
  <sheetData>
    <row r="1" spans="2:19" ht="63.75" customHeight="1" x14ac:dyDescent="0.35">
      <c r="B1" s="217" t="s">
        <v>9</v>
      </c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</row>
    <row r="2" spans="2:19" ht="6.75" customHeight="1" x14ac:dyDescent="0.35">
      <c r="O2" s="128"/>
      <c r="P2" s="129"/>
    </row>
    <row r="3" spans="2:19" ht="72.75" customHeight="1" x14ac:dyDescent="0.35">
      <c r="B3" s="219" t="s">
        <v>11</v>
      </c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</row>
    <row r="4" spans="2:19" s="89" customFormat="1" ht="112.5" customHeight="1" x14ac:dyDescent="0.35">
      <c r="B4" s="194" t="s">
        <v>57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</row>
    <row r="5" spans="2:19" ht="4.5" hidden="1" customHeight="1" x14ac:dyDescent="0.35">
      <c r="C5" s="131"/>
      <c r="D5" s="91"/>
      <c r="E5" s="92"/>
      <c r="F5" s="91"/>
      <c r="G5" s="91"/>
      <c r="H5" s="91"/>
      <c r="I5" s="91"/>
      <c r="J5" s="91"/>
      <c r="K5" s="91"/>
      <c r="L5" s="91"/>
      <c r="M5" s="91"/>
      <c r="N5" s="91"/>
      <c r="O5" s="93"/>
      <c r="P5" s="93"/>
    </row>
    <row r="6" spans="2:19" ht="38.25" customHeight="1" x14ac:dyDescent="0.35">
      <c r="B6" s="222" t="s">
        <v>12</v>
      </c>
      <c r="C6" s="218"/>
      <c r="D6" s="218"/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</row>
    <row r="7" spans="2:19" ht="9.75" customHeight="1" x14ac:dyDescent="0.35">
      <c r="C7" s="130"/>
      <c r="D7" s="130"/>
      <c r="E7" s="95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</row>
    <row r="8" spans="2:19" s="99" customFormat="1" ht="25.5" customHeight="1" x14ac:dyDescent="0.25">
      <c r="B8" s="215" t="s">
        <v>6</v>
      </c>
      <c r="C8" s="223"/>
      <c r="D8" s="96">
        <v>1</v>
      </c>
      <c r="E8" s="97">
        <v>1</v>
      </c>
      <c r="F8" s="96">
        <v>2</v>
      </c>
      <c r="G8" s="97">
        <v>3</v>
      </c>
      <c r="H8" s="96">
        <v>4</v>
      </c>
      <c r="I8" s="97">
        <v>5</v>
      </c>
      <c r="J8" s="98"/>
      <c r="K8" s="98"/>
      <c r="L8" s="98"/>
      <c r="M8" s="98"/>
      <c r="N8" s="98"/>
      <c r="O8" s="98"/>
      <c r="P8" s="91"/>
    </row>
    <row r="9" spans="2:19" ht="20.25" customHeight="1" x14ac:dyDescent="0.35">
      <c r="B9" s="215" t="s">
        <v>8</v>
      </c>
      <c r="C9" s="216"/>
      <c r="D9" s="100">
        <v>2</v>
      </c>
      <c r="E9" s="101"/>
      <c r="F9" s="100"/>
      <c r="G9" s="100"/>
      <c r="H9" s="100"/>
      <c r="I9" s="100"/>
      <c r="J9" s="102"/>
      <c r="K9" s="102"/>
      <c r="L9" s="102"/>
      <c r="M9" s="102"/>
      <c r="N9" s="102"/>
      <c r="O9" s="131"/>
      <c r="P9" s="131"/>
      <c r="Q9" s="89"/>
      <c r="R9" s="89"/>
      <c r="S9" s="89"/>
    </row>
    <row r="10" spans="2:19" ht="35.25" customHeight="1" x14ac:dyDescent="0.35">
      <c r="B10" s="215" t="s">
        <v>23</v>
      </c>
      <c r="C10" s="216"/>
      <c r="D10" s="96">
        <v>3</v>
      </c>
      <c r="E10" s="103" t="s">
        <v>22</v>
      </c>
      <c r="F10" s="96" t="s">
        <v>24</v>
      </c>
      <c r="G10" s="96" t="s">
        <v>25</v>
      </c>
      <c r="H10" s="104" t="s">
        <v>26</v>
      </c>
      <c r="I10" s="104" t="s">
        <v>34</v>
      </c>
      <c r="J10" s="98"/>
      <c r="K10" s="98"/>
      <c r="L10" s="98"/>
      <c r="M10" s="98"/>
      <c r="N10" s="98"/>
      <c r="O10" s="131"/>
      <c r="P10" s="131"/>
      <c r="Q10" s="89"/>
      <c r="R10" s="89"/>
      <c r="S10" s="89"/>
    </row>
    <row r="11" spans="2:19" ht="20.25" customHeight="1" x14ac:dyDescent="0.35">
      <c r="B11" s="215" t="s">
        <v>0</v>
      </c>
      <c r="C11" s="216"/>
      <c r="D11" s="100">
        <v>4</v>
      </c>
      <c r="E11" s="105">
        <v>23738.799999999999</v>
      </c>
      <c r="F11" s="105">
        <v>21487.1</v>
      </c>
      <c r="G11" s="105">
        <v>25499.9</v>
      </c>
      <c r="H11" s="105">
        <v>20412.8</v>
      </c>
      <c r="I11" s="105">
        <v>16460.2</v>
      </c>
      <c r="J11" s="98"/>
      <c r="K11" s="98"/>
      <c r="L11" s="98"/>
      <c r="M11" s="98"/>
      <c r="N11" s="98"/>
      <c r="O11" s="131"/>
      <c r="P11" s="131"/>
      <c r="Q11" s="106">
        <f>E11+F11+G11+H11+I11</f>
        <v>107598.79999999999</v>
      </c>
      <c r="R11" s="89"/>
      <c r="S11" s="89"/>
    </row>
    <row r="12" spans="2:19" ht="50.25" customHeight="1" x14ac:dyDescent="0.35">
      <c r="B12" s="215" t="s">
        <v>1</v>
      </c>
      <c r="C12" s="216"/>
      <c r="D12" s="96">
        <v>5</v>
      </c>
      <c r="E12" s="101" t="s">
        <v>27</v>
      </c>
      <c r="F12" s="101" t="s">
        <v>27</v>
      </c>
      <c r="G12" s="101" t="s">
        <v>27</v>
      </c>
      <c r="H12" s="101" t="s">
        <v>27</v>
      </c>
      <c r="I12" s="101" t="s">
        <v>27</v>
      </c>
      <c r="J12" s="102"/>
      <c r="K12" s="102"/>
      <c r="L12" s="102"/>
      <c r="M12" s="102"/>
      <c r="N12" s="102"/>
      <c r="O12" s="131"/>
      <c r="P12" s="131"/>
      <c r="Q12" s="89"/>
      <c r="R12" s="89"/>
      <c r="S12" s="89"/>
    </row>
    <row r="13" spans="2:19" ht="21" customHeight="1" x14ac:dyDescent="0.35">
      <c r="B13" s="215" t="s">
        <v>2</v>
      </c>
      <c r="C13" s="216"/>
      <c r="D13" s="100">
        <v>6</v>
      </c>
      <c r="E13" s="224" t="s">
        <v>28</v>
      </c>
      <c r="F13" s="225"/>
      <c r="G13" s="225"/>
      <c r="H13" s="225"/>
      <c r="I13" s="226"/>
      <c r="J13" s="98"/>
      <c r="K13" s="98"/>
      <c r="L13" s="98"/>
      <c r="M13" s="98"/>
      <c r="N13" s="98"/>
      <c r="O13" s="131"/>
      <c r="P13" s="131"/>
      <c r="Q13" s="89"/>
      <c r="R13" s="89"/>
      <c r="S13" s="89"/>
    </row>
    <row r="14" spans="2:19" ht="20.25" customHeight="1" x14ac:dyDescent="0.35">
      <c r="B14" s="215" t="s">
        <v>3</v>
      </c>
      <c r="C14" s="216"/>
      <c r="D14" s="96">
        <v>7</v>
      </c>
      <c r="E14" s="107" t="s">
        <v>29</v>
      </c>
      <c r="F14" s="107" t="s">
        <v>30</v>
      </c>
      <c r="G14" s="107" t="s">
        <v>31</v>
      </c>
      <c r="H14" s="107" t="s">
        <v>32</v>
      </c>
      <c r="I14" s="107" t="s">
        <v>33</v>
      </c>
      <c r="J14" s="98"/>
      <c r="K14" s="98"/>
      <c r="L14" s="98"/>
      <c r="M14" s="98"/>
      <c r="N14" s="98"/>
      <c r="O14" s="131"/>
      <c r="P14" s="131"/>
      <c r="Q14" s="89"/>
      <c r="R14" s="89"/>
      <c r="S14" s="89"/>
    </row>
    <row r="15" spans="2:19" ht="48.75" customHeight="1" x14ac:dyDescent="0.35">
      <c r="B15" s="228" t="s">
        <v>15</v>
      </c>
      <c r="C15" s="127" t="s">
        <v>35</v>
      </c>
      <c r="D15" s="100">
        <v>8</v>
      </c>
      <c r="E15" s="109">
        <f>E11*6.52/1000</f>
        <v>154.77697599999999</v>
      </c>
      <c r="F15" s="109">
        <f>F11*6.52/1000</f>
        <v>140.09589199999999</v>
      </c>
      <c r="G15" s="109">
        <f>G11*6.52/1000</f>
        <v>166.25934799999999</v>
      </c>
      <c r="H15" s="109">
        <f>H11*6.52/1000</f>
        <v>133.09145599999997</v>
      </c>
      <c r="I15" s="109">
        <f>I11*6.52/1000</f>
        <v>107.320504</v>
      </c>
      <c r="J15" s="102"/>
      <c r="K15" s="102"/>
      <c r="L15" s="102"/>
      <c r="M15" s="102"/>
      <c r="N15" s="102"/>
      <c r="O15" s="131"/>
      <c r="P15" s="131"/>
      <c r="Q15" s="110">
        <f>SUM(E15:I15)</f>
        <v>701.54417599999999</v>
      </c>
      <c r="R15" s="89"/>
      <c r="S15" s="89"/>
    </row>
    <row r="16" spans="2:19" ht="48.75" customHeight="1" x14ac:dyDescent="0.35">
      <c r="B16" s="229"/>
      <c r="C16" s="127" t="s">
        <v>36</v>
      </c>
      <c r="D16" s="96">
        <v>9</v>
      </c>
      <c r="E16" s="111">
        <f>E19-'ЯНВАРЬ  2019'!E19</f>
        <v>126.54999999999927</v>
      </c>
      <c r="F16" s="111">
        <f>F19-'ЯНВАРЬ  2019'!F19</f>
        <v>103.32000000000062</v>
      </c>
      <c r="G16" s="111">
        <f>G19-'ЯНВАРЬ  2019'!G19</f>
        <v>144.34000000000015</v>
      </c>
      <c r="H16" s="111">
        <f>H19-'ЯНВАРЬ  2019'!H19</f>
        <v>113.42999999999938</v>
      </c>
      <c r="I16" s="111">
        <f>I19-'ЯНВАРЬ  2019'!I19</f>
        <v>80.690000000000509</v>
      </c>
      <c r="J16" s="98"/>
      <c r="K16" s="98"/>
      <c r="L16" s="98"/>
      <c r="M16" s="98"/>
      <c r="N16" s="98"/>
      <c r="O16" s="131"/>
      <c r="P16" s="131"/>
      <c r="Q16" s="112">
        <f>SUM(E16:I16)</f>
        <v>568.32999999999993</v>
      </c>
      <c r="R16" s="154">
        <f>100*Q16/Q15</f>
        <v>81.011291867669911</v>
      </c>
      <c r="S16" s="89"/>
    </row>
    <row r="17" spans="2:20" ht="67.5" customHeight="1" x14ac:dyDescent="0.35">
      <c r="B17" s="230"/>
      <c r="C17" s="113" t="s">
        <v>53</v>
      </c>
      <c r="D17" s="100">
        <v>10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98"/>
      <c r="K17" s="98"/>
      <c r="L17" s="98"/>
      <c r="M17" s="98"/>
      <c r="N17" s="98"/>
      <c r="O17" s="131"/>
      <c r="P17" s="131"/>
      <c r="Q17" s="110">
        <f t="shared" ref="Q17:Q20" si="0">SUM(E17:I17)</f>
        <v>0</v>
      </c>
      <c r="R17" s="89"/>
      <c r="S17" s="89"/>
    </row>
    <row r="18" spans="2:20" ht="48.75" customHeight="1" x14ac:dyDescent="0.35">
      <c r="B18" s="231" t="s">
        <v>16</v>
      </c>
      <c r="C18" s="127" t="s">
        <v>35</v>
      </c>
      <c r="D18" s="96">
        <v>11</v>
      </c>
      <c r="E18" s="111">
        <f>(E11*(5.84*23+6.27*24+6.52*8))/1000</f>
        <v>7999.0260479999979</v>
      </c>
      <c r="F18" s="111">
        <f t="shared" ref="F18:I18" si="1">(F11*(5.84*23+6.27*24+6.52*8))/1000</f>
        <v>7240.2932159999982</v>
      </c>
      <c r="G18" s="111">
        <f t="shared" si="1"/>
        <v>8592.4463039999973</v>
      </c>
      <c r="H18" s="111">
        <f t="shared" si="1"/>
        <v>6878.2970879999984</v>
      </c>
      <c r="I18" s="111">
        <f t="shared" si="1"/>
        <v>5546.4289919999983</v>
      </c>
      <c r="J18" s="98"/>
      <c r="K18" s="98"/>
      <c r="L18" s="98"/>
      <c r="M18" s="98"/>
      <c r="N18" s="98"/>
      <c r="O18" s="131"/>
      <c r="P18" s="131"/>
      <c r="Q18" s="110">
        <f t="shared" si="0"/>
        <v>36256.491647999996</v>
      </c>
      <c r="R18" s="89"/>
      <c r="S18" s="89"/>
      <c r="T18" s="84" t="s">
        <v>45</v>
      </c>
    </row>
    <row r="19" spans="2:20" ht="48.75" customHeight="1" x14ac:dyDescent="0.35">
      <c r="B19" s="232"/>
      <c r="C19" s="127" t="s">
        <v>36</v>
      </c>
      <c r="D19" s="100">
        <v>12</v>
      </c>
      <c r="E19" s="114">
        <v>6446.15</v>
      </c>
      <c r="F19" s="114">
        <v>5497.22</v>
      </c>
      <c r="G19" s="114">
        <v>6952.33</v>
      </c>
      <c r="H19" s="114">
        <v>5407.95</v>
      </c>
      <c r="I19" s="114">
        <v>4417.88</v>
      </c>
      <c r="J19" s="102"/>
      <c r="K19" s="102"/>
      <c r="L19" s="102"/>
      <c r="M19" s="102"/>
      <c r="N19" s="102"/>
      <c r="O19" s="131"/>
      <c r="P19" s="131"/>
      <c r="Q19" s="110">
        <f t="shared" si="0"/>
        <v>28721.53</v>
      </c>
      <c r="R19" s="89"/>
      <c r="S19" s="89"/>
      <c r="T19" s="112">
        <f>Q19-'ЯНВАРЬ  2019'!Q19</f>
        <v>568.33000000000175</v>
      </c>
    </row>
    <row r="20" spans="2:20" ht="48.75" customHeight="1" x14ac:dyDescent="0.35">
      <c r="B20" s="232"/>
      <c r="C20" s="113" t="s">
        <v>53</v>
      </c>
      <c r="D20" s="96">
        <v>13</v>
      </c>
      <c r="E20" s="103">
        <v>0</v>
      </c>
      <c r="F20" s="103">
        <v>0</v>
      </c>
      <c r="G20" s="103">
        <v>0</v>
      </c>
      <c r="H20" s="103">
        <v>0</v>
      </c>
      <c r="I20" s="103">
        <v>0</v>
      </c>
      <c r="J20" s="98"/>
      <c r="K20" s="98"/>
      <c r="L20" s="98"/>
      <c r="M20" s="98"/>
      <c r="N20" s="98"/>
      <c r="O20" s="131"/>
      <c r="P20" s="131"/>
      <c r="Q20" s="110">
        <f t="shared" si="0"/>
        <v>0</v>
      </c>
      <c r="R20" s="89"/>
      <c r="S20" s="89"/>
    </row>
    <row r="21" spans="2:20" ht="41.25" customHeight="1" x14ac:dyDescent="0.35">
      <c r="B21" s="215" t="s">
        <v>17</v>
      </c>
      <c r="C21" s="223"/>
      <c r="D21" s="100">
        <v>14</v>
      </c>
      <c r="E21" s="115">
        <f>E19-E20</f>
        <v>6446.15</v>
      </c>
      <c r="F21" s="115">
        <f t="shared" ref="F21:I21" si="2">F19-F20</f>
        <v>5497.22</v>
      </c>
      <c r="G21" s="115">
        <f t="shared" si="2"/>
        <v>6952.33</v>
      </c>
      <c r="H21" s="115">
        <f t="shared" si="2"/>
        <v>5407.95</v>
      </c>
      <c r="I21" s="115">
        <f t="shared" si="2"/>
        <v>4417.88</v>
      </c>
      <c r="J21" s="98"/>
      <c r="K21" s="98"/>
      <c r="L21" s="98"/>
      <c r="M21" s="98"/>
      <c r="N21" s="98"/>
      <c r="O21" s="131"/>
      <c r="P21" s="131"/>
      <c r="Q21" s="110">
        <f>SUM(E21:I21)</f>
        <v>28721.53</v>
      </c>
      <c r="R21" s="89"/>
      <c r="S21" s="89"/>
    </row>
    <row r="22" spans="2:20" ht="43.5" customHeight="1" x14ac:dyDescent="0.35">
      <c r="B22" s="215" t="s">
        <v>4</v>
      </c>
      <c r="C22" s="216"/>
      <c r="D22" s="96">
        <v>15</v>
      </c>
      <c r="E22" s="116">
        <f>(1-E19/E18)*100</f>
        <v>19.413314054506237</v>
      </c>
      <c r="F22" s="116">
        <f t="shared" ref="F22:I22" si="3">(1-F19/F18)*100</f>
        <v>24.074621897191385</v>
      </c>
      <c r="G22" s="116">
        <f t="shared" si="3"/>
        <v>19.087885405073557</v>
      </c>
      <c r="H22" s="116">
        <f t="shared" si="3"/>
        <v>21.376615013695655</v>
      </c>
      <c r="I22" s="116">
        <f t="shared" si="3"/>
        <v>20.347308035995471</v>
      </c>
      <c r="J22" s="98"/>
      <c r="K22" s="98"/>
      <c r="L22" s="98"/>
      <c r="M22" s="98"/>
      <c r="N22" s="98"/>
      <c r="Q22" s="116">
        <f t="shared" ref="Q22" si="4">(1-Q19/Q18)*100</f>
        <v>20.782379390576377</v>
      </c>
    </row>
    <row r="23" spans="2:20" ht="43.5" customHeight="1" x14ac:dyDescent="0.35">
      <c r="B23" s="215" t="s">
        <v>5</v>
      </c>
      <c r="C23" s="216"/>
      <c r="D23" s="100">
        <v>16</v>
      </c>
      <c r="E23" s="103" t="s">
        <v>20</v>
      </c>
      <c r="F23" s="103" t="s">
        <v>20</v>
      </c>
      <c r="G23" s="103" t="s">
        <v>20</v>
      </c>
      <c r="H23" s="103" t="s">
        <v>20</v>
      </c>
      <c r="I23" s="103" t="s">
        <v>20</v>
      </c>
      <c r="J23" s="98"/>
      <c r="K23" s="98"/>
      <c r="L23" s="98"/>
      <c r="M23" s="98"/>
      <c r="N23" s="98"/>
    </row>
    <row r="24" spans="2:20" ht="240" customHeight="1" x14ac:dyDescent="0.35">
      <c r="B24" s="233" t="s">
        <v>40</v>
      </c>
      <c r="C24" s="234"/>
      <c r="D24" s="234"/>
      <c r="E24" s="234"/>
      <c r="F24" s="234"/>
      <c r="G24" s="235"/>
      <c r="H24" s="63" t="s">
        <v>55</v>
      </c>
    </row>
    <row r="25" spans="2:20" ht="84.75" customHeight="1" x14ac:dyDescent="0.35">
      <c r="B25" s="227" t="s">
        <v>47</v>
      </c>
      <c r="C25" s="218"/>
      <c r="D25" s="218"/>
      <c r="E25" s="218"/>
      <c r="F25" s="218"/>
      <c r="G25" s="218"/>
      <c r="H25" s="218"/>
      <c r="I25" s="218"/>
      <c r="J25" s="218"/>
      <c r="K25" s="218"/>
      <c r="L25" s="218"/>
      <c r="M25" s="218"/>
      <c r="N25" s="218"/>
      <c r="O25" s="218"/>
      <c r="P25" s="218"/>
      <c r="Q25" s="218"/>
    </row>
  </sheetData>
  <mergeCells count="19">
    <mergeCell ref="B14:C14"/>
    <mergeCell ref="B1:P1"/>
    <mergeCell ref="B3:P3"/>
    <mergeCell ref="B4:P4"/>
    <mergeCell ref="B6:P6"/>
    <mergeCell ref="B8:C8"/>
    <mergeCell ref="B9:C9"/>
    <mergeCell ref="B10:C10"/>
    <mergeCell ref="B11:C11"/>
    <mergeCell ref="B12:C12"/>
    <mergeCell ref="B13:C13"/>
    <mergeCell ref="E13:I13"/>
    <mergeCell ref="B25:Q25"/>
    <mergeCell ref="B15:B17"/>
    <mergeCell ref="B18:B20"/>
    <mergeCell ref="B21:C21"/>
    <mergeCell ref="B22:C22"/>
    <mergeCell ref="B23:C23"/>
    <mergeCell ref="B24:G24"/>
  </mergeCells>
  <pageMargins left="0.7" right="0.7" top="0.75" bottom="0.75" header="0.3" footer="0.3"/>
  <pageSetup paperSize="9" scale="38" orientation="landscape" r:id="rId1"/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6</vt:i4>
      </vt:variant>
    </vt:vector>
  </HeadingPairs>
  <TitlesOfParts>
    <vt:vector size="23" baseType="lpstr">
      <vt:lpstr>сент 2018</vt:lpstr>
      <vt:lpstr>авг 2018</vt:lpstr>
      <vt:lpstr>июль 2018</vt:lpstr>
      <vt:lpstr>июнь 2018</vt:lpstr>
      <vt:lpstr>Октябрь 2018</vt:lpstr>
      <vt:lpstr>НОЯБРЬ 2018</vt:lpstr>
      <vt:lpstr>ДЕКАБРЬ 2018</vt:lpstr>
      <vt:lpstr>ЯНВАРЬ  2019</vt:lpstr>
      <vt:lpstr>ФЕВРАЛЬ 2019</vt:lpstr>
      <vt:lpstr>МАРТ 2019</vt:lpstr>
      <vt:lpstr>АПР 2019</vt:lpstr>
      <vt:lpstr>МАЙ 2019</vt:lpstr>
      <vt:lpstr>ИЮНЬ 2019</vt:lpstr>
      <vt:lpstr>ИЮЛЬ 2019</vt:lpstr>
      <vt:lpstr>АВГ 2019</vt:lpstr>
      <vt:lpstr>СЕНТ 2019</vt:lpstr>
      <vt:lpstr>Лист5</vt:lpstr>
      <vt:lpstr>'АВГ 2019'!Область_печати</vt:lpstr>
      <vt:lpstr>'АПР 2019'!Область_печати</vt:lpstr>
      <vt:lpstr>'июль 2018'!Область_печати</vt:lpstr>
      <vt:lpstr>'ИЮЛЬ 2019'!Область_печати</vt:lpstr>
      <vt:lpstr>'МАЙ 2019'!Область_печати</vt:lpstr>
      <vt:lpstr>'СЕНТ 2019'!Область_печати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Илатовская А.Н.</dc:creator>
  <cp:lastModifiedBy>User</cp:lastModifiedBy>
  <cp:lastPrinted>2019-10-03T09:40:28Z</cp:lastPrinted>
  <dcterms:created xsi:type="dcterms:W3CDTF">2017-10-06T07:54:20Z</dcterms:created>
  <dcterms:modified xsi:type="dcterms:W3CDTF">2019-10-03T09:41:06Z</dcterms:modified>
</cp:coreProperties>
</file>